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udgets\Budget 2023-2024\"/>
    </mc:Choice>
  </mc:AlternateContent>
  <xr:revisionPtr revIDLastSave="0" documentId="14_{77D63FD8-27A4-4A8D-B491-7D5AB7D4723D}" xr6:coauthVersionLast="47" xr6:coauthVersionMax="47" xr10:uidLastSave="{00000000-0000-0000-0000-000000000000}"/>
  <bookViews>
    <workbookView xWindow="-120" yWindow="-120" windowWidth="29040" windowHeight="15840" xr2:uid="{51F2B802-B770-49A1-9029-C548D7F4A2AC}"/>
  </bookViews>
  <sheets>
    <sheet name="General" sheetId="2" r:id="rId1"/>
    <sheet name="Enterprise" sheetId="3" r:id="rId2"/>
  </sheets>
  <externalReferences>
    <externalReference r:id="rId3"/>
    <externalReference r:id="rId4"/>
  </externalReferences>
  <definedNames>
    <definedName name="GeneralWC" localSheetId="0">#REF!</definedName>
    <definedName name="GeneralWC">#REF!</definedName>
    <definedName name="_xlnm.Print_Area" localSheetId="1">Enterprise!$M$1:$O$127</definedName>
    <definedName name="_xlnm.Print_Area" localSheetId="0">General!$M$3:$O$247</definedName>
    <definedName name="_xlnm.Print_Titles" localSheetId="1">Enterprise!$A:$D,Enterprise!$1:$2</definedName>
    <definedName name="_xlnm.Print_Titles" localSheetId="0">General!$A:$D,General!$1:$2</definedName>
    <definedName name="QB_COLUMN_59200" localSheetId="1" hidden="1">Enterprise!$E$2</definedName>
    <definedName name="QB_COLUMN_59200" localSheetId="0" hidden="1">General!$E$2</definedName>
    <definedName name="QB_COLUMN_63620" localSheetId="1" hidden="1">Enterprise!$K$2</definedName>
    <definedName name="QB_COLUMN_63620" localSheetId="0" hidden="1">General!$K$2</definedName>
    <definedName name="QB_COLUMN_64430" localSheetId="1" hidden="1">Enterprise!#REF!</definedName>
    <definedName name="QB_COLUMN_64430" localSheetId="0" hidden="1">General!#REF!</definedName>
    <definedName name="QB_COLUMN_76210" localSheetId="1" hidden="1">Enterprise!$I$2</definedName>
    <definedName name="QB_COLUMN_76210" localSheetId="0" hidden="1">General!$I$2</definedName>
    <definedName name="QB_DATA_0" localSheetId="1" hidden="1">Enterprise!$4:$4,Enterprise!$6:$6,Enterprise!$7:$7,Enterprise!$8:$8,Enterprise!$9:$9,Enterprise!#REF!,Enterprise!$10:$10,Enterprise!$11:$11,Enterprise!$12:$12,Enterprise!#REF!,Enterprise!#REF!,Enterprise!#REF!,Enterprise!#REF!,Enterprise!#REF!,Enterprise!$30:$30,Enterprise!$31:$31</definedName>
    <definedName name="QB_DATA_0" localSheetId="0" hidden="1">General!$4:$4,General!#REF!,General!$7:$7,General!$8:$8,General!#REF!,General!$10:$10,General!$11:$11,General!$12:$12,General!$13:$13,General!$14:$14,General!#REF!,General!$16:$16,General!$17:$17,General!#REF!,General!$23:$23,General!$24:$24</definedName>
    <definedName name="QB_DATA_1" localSheetId="1" hidden="1">Enterprise!$32:$32,Enterprise!$34:$34,Enterprise!$35:$35,Enterprise!#REF!,Enterprise!$36:$36,Enterprise!#REF!,Enterprise!#REF!,Enterprise!$37:$37,Enterprise!$38:$38,Enterprise!#REF!,Enterprise!#REF!,Enterprise!$39:$39,Enterprise!$40:$40,Enterprise!$41:$41,Enterprise!#REF!,Enterprise!#REF!</definedName>
    <definedName name="QB_DATA_1" localSheetId="0" hidden="1">General!$25:$25,General!$26:$26,General!$28:$28,General!#REF!,General!$30:$30,General!$31:$31,General!$32:$32,General!#REF!,General!$102:$102,General!$103:$103,General!$104:$104,General!$105:$105,General!$106:$106,General!$107:$107,General!$109:$109,General!$110:$110</definedName>
    <definedName name="QB_DATA_2" localSheetId="1" hidden="1">Enterprise!$44:$44,Enterprise!$52:$52,Enterprise!$53:$53,Enterprise!#REF!,Enterprise!$112:$112,Enterprise!$113:$113,Enterprise!$114:$114,Enterprise!$115:$115,Enterprise!$116:$116,Enterprise!$118:$118,Enterprise!$119:$119,Enterprise!$120:$120,Enterprise!$121:$121,Enterprise!#REF!,Enterprise!$122:$122,Enterprise!#REF!</definedName>
    <definedName name="QB_DATA_2" localSheetId="0" hidden="1">General!$111:$111,General!$113:$113,General!$114:$114,General!$115:$115,General!#REF!,General!$116:$116,General!$117:$117,General!$118:$118,General!$119:$119,General!$120:$120,General!$121:$121,General!$124:$124,General!$125:$125,General!$126:$126,General!$127:$127,General!$128:$128</definedName>
    <definedName name="QB_DATA_3" localSheetId="1" hidden="1">Enterprise!$124:$124,Enterprise!#REF!,Enterprise!$125:$125</definedName>
    <definedName name="QB_DATA_3" localSheetId="0" hidden="1">General!$129:$129,General!$130:$130,General!$131:$131,General!$132:$132,General!$133:$133,General!$136:$136,General!$137:$137,General!$139:$139,General!$144:$144,General!#REF!,General!#REF!,General!#REF!,General!$149:$149,General!$150:$150,General!$151:$151,General!$152:$152</definedName>
    <definedName name="QB_DATA_4" localSheetId="0" hidden="1">General!$153:$153,General!$154:$154</definedName>
    <definedName name="QB_FORMULA_0" localSheetId="1" hidden="1">Enterprise!$K$4,Enterprise!#REF!,Enterprise!$K$6,Enterprise!#REF!,Enterprise!$K$7,Enterprise!#REF!,Enterprise!$K$8,Enterprise!#REF!,Enterprise!$K$9,Enterprise!#REF!,Enterprise!#REF!,Enterprise!#REF!,Enterprise!$K$10,Enterprise!#REF!,Enterprise!$K$11,Enterprise!#REF!</definedName>
    <definedName name="QB_FORMULA_0" localSheetId="0" hidden="1">General!$K$4,General!#REF!,General!#REF!,General!#REF!,General!$K$7,General!#REF!,General!$K$8,General!#REF!,General!#REF!,General!#REF!,General!$K$10,General!#REF!,General!$K$11,General!#REF!,General!$K$12,General!#REF!</definedName>
    <definedName name="QB_FORMULA_1" localSheetId="1" hidden="1">Enterprise!$K$12,Enterprise!#REF!,Enterprise!#REF!,Enterprise!#REF!,Enterprise!#REF!,Enterprise!#REF!,Enterprise!#REF!,Enterprise!#REF!,Enterprise!$E$27,Enterprise!$I$27,Enterprise!$K$27,Enterprise!#REF!,Enterprise!#REF!,Enterprise!#REF!,Enterprise!#REF!,Enterprise!#REF!</definedName>
    <definedName name="QB_FORMULA_1" localSheetId="0" hidden="1">General!$K$13,General!#REF!,General!$K$14,General!#REF!,General!#REF!,General!#REF!,General!$K$16,General!#REF!,General!$K$17,General!#REF!,General!#REF!,General!#REF!,General!$K$23,General!#REF!,General!$K$24,General!#REF!</definedName>
    <definedName name="QB_FORMULA_2" localSheetId="1" hidden="1">Enterprise!#REF!,Enterprise!#REF!,Enterprise!$K$30,Enterprise!#REF!,Enterprise!$K$31,Enterprise!#REF!,Enterprise!$K$32,Enterprise!#REF!,Enterprise!$K$34,Enterprise!#REF!,Enterprise!#REF!,Enterprise!#REF!,Enterprise!$K$36,Enterprise!#REF!,Enterprise!#REF!,Enterprise!#REF!</definedName>
    <definedName name="QB_FORMULA_2" localSheetId="0" hidden="1">General!$K$25,General!#REF!,General!$K$28,General!#REF!,General!#REF!,General!#REF!,General!$K$30,General!#REF!,General!$K$32,General!#REF!,General!#REF!,General!#REF!,General!$E$99,General!$I$99,General!$K$99,General!#REF!</definedName>
    <definedName name="QB_FORMULA_3" localSheetId="1" hidden="1">Enterprise!#REF!,Enterprise!#REF!,Enterprise!$K$37,Enterprise!#REF!,Enterprise!$K$38,Enterprise!#REF!,Enterprise!#REF!,Enterprise!#REF!,Enterprise!#REF!,Enterprise!#REF!,Enterprise!$K$39,Enterprise!#REF!,Enterprise!$K$40,Enterprise!#REF!,Enterprise!$K$41,Enterprise!#REF!</definedName>
    <definedName name="QB_FORMULA_3" localSheetId="0" hidden="1">General!$E$100,General!$I$100,General!$K$100,General!#REF!,General!$K$102,General!#REF!,General!$K$103,General!#REF!,General!$K$104,General!#REF!,General!$K$105,General!#REF!,General!$K$106,General!#REF!,General!$K$107,General!#REF!</definedName>
    <definedName name="QB_FORMULA_4" localSheetId="1" hidden="1">Enterprise!#REF!,Enterprise!#REF!,Enterprise!#REF!,Enterprise!#REF!,Enterprise!$K$44,Enterprise!#REF!,Enterprise!$K$52,Enterprise!#REF!,Enterprise!$K$53,Enterprise!#REF!,Enterprise!#REF!,Enterprise!#REF!,Enterprise!$K$112,Enterprise!#REF!,Enterprise!$K$113,Enterprise!#REF!</definedName>
    <definedName name="QB_FORMULA_4" localSheetId="0" hidden="1">General!$K$109,General!#REF!,General!$K$110,General!#REF!,General!$K$111,General!#REF!,General!$K$113,General!#REF!,General!$K$114,General!#REF!,General!$K$115,General!#REF!,General!#REF!,General!#REF!,General!$K$116,General!#REF!</definedName>
    <definedName name="QB_FORMULA_5" localSheetId="1" hidden="1">Enterprise!$K$114,Enterprise!#REF!,Enterprise!$K$115,Enterprise!#REF!,Enterprise!$K$116,Enterprise!#REF!,Enterprise!$K$119,Enterprise!#REF!,Enterprise!$K$120,Enterprise!#REF!,Enterprise!$K$121,Enterprise!#REF!,Enterprise!#REF!,Enterprise!#REF!,Enterprise!$K$122,Enterprise!#REF!</definedName>
    <definedName name="QB_FORMULA_5" localSheetId="0" hidden="1">General!$K$117,General!#REF!,General!$K$118,General!#REF!,General!$K$119,General!#REF!,General!$K$120,General!#REF!,General!$K$121,General!#REF!,General!$K$124,General!#REF!,General!$K$125,General!#REF!,General!$K$126,General!#REF!</definedName>
    <definedName name="QB_FORMULA_6" localSheetId="1" hidden="1">Enterprise!#REF!,Enterprise!#REF!,Enterprise!$K$124,Enterprise!#REF!,Enterprise!#REF!,Enterprise!#REF!,Enterprise!$K$125,Enterprise!#REF!,Enterprise!$E$126,Enterprise!$I$126,Enterprise!$K$126,Enterprise!#REF!,Enterprise!$E$127,Enterprise!$I$127,Enterprise!$K$127,Enterprise!#REF!</definedName>
    <definedName name="QB_FORMULA_6" localSheetId="0" hidden="1">General!$K$127,General!#REF!,General!$K$128,General!#REF!,General!$K$129,General!#REF!,General!$K$130,General!#REF!,General!$K$131,General!#REF!,General!$K$132,General!#REF!,General!$K$133,General!#REF!,General!$K$136,General!#REF!</definedName>
    <definedName name="QB_FORMULA_7" localSheetId="0" hidden="1">General!$K$137,General!#REF!,General!$K$139,General!#REF!,General!$K$144,General!#REF!,General!#REF!,General!#REF!,General!#REF!,General!#REF!,General!$K$149,General!#REF!,General!$K$150,General!#REF!,General!$K$151,General!#REF!</definedName>
    <definedName name="QB_FORMULA_8" localSheetId="0" hidden="1">General!$K$152,General!#REF!,General!$K$153,General!#REF!,General!$K$245,General!#REF!,General!$E$246,General!$I$246,General!$K$246,General!#REF!,General!$E$247,General!$I$247,General!$K$247,General!#REF!</definedName>
    <definedName name="QB_ROW_100230" localSheetId="0" hidden="1">General!$D$24</definedName>
    <definedName name="QB_ROW_109230" localSheetId="0" hidden="1">General!$D$25</definedName>
    <definedName name="QB_ROW_110230" localSheetId="1" hidden="1">Enterprise!#REF!</definedName>
    <definedName name="QB_ROW_112230" localSheetId="1" hidden="1">Enterprise!#REF!</definedName>
    <definedName name="QB_ROW_112230" localSheetId="0" hidden="1">General!$D$26</definedName>
    <definedName name="QB_ROW_113230" localSheetId="0" hidden="1">General!$D$28</definedName>
    <definedName name="QB_ROW_114230" localSheetId="0" hidden="1">General!#REF!</definedName>
    <definedName name="QB_ROW_115230" localSheetId="0" hidden="1">General!$D$30</definedName>
    <definedName name="QB_ROW_117230" localSheetId="1" hidden="1">Enterprise!#REF!</definedName>
    <definedName name="QB_ROW_118230" localSheetId="0" hidden="1">General!$D$31</definedName>
    <definedName name="QB_ROW_119230" localSheetId="0" hidden="1">General!$D$32</definedName>
    <definedName name="QB_ROW_121230" localSheetId="1" hidden="1">Enterprise!#REF!</definedName>
    <definedName name="QB_ROW_121230" localSheetId="0" hidden="1">General!#REF!</definedName>
    <definedName name="QB_ROW_18301" localSheetId="1" hidden="1">Enterprise!$A$127</definedName>
    <definedName name="QB_ROW_18301" localSheetId="0" hidden="1">General!$A$157</definedName>
    <definedName name="QB_ROW_192230" localSheetId="0" hidden="1">General!$D$102</definedName>
    <definedName name="QB_ROW_193230" localSheetId="0" hidden="1">General!$D$103</definedName>
    <definedName name="QB_ROW_195230" localSheetId="0" hidden="1">General!$D$105</definedName>
    <definedName name="QB_ROW_196230" localSheetId="0" hidden="1">General!$D$106</definedName>
    <definedName name="QB_ROW_197230" localSheetId="0" hidden="1">General!$D$107</definedName>
    <definedName name="QB_ROW_198230" localSheetId="0" hidden="1">General!$D$109</definedName>
    <definedName name="QB_ROW_199230" localSheetId="0" hidden="1">General!$D$110</definedName>
    <definedName name="QB_ROW_20022" localSheetId="1" hidden="1">Enterprise!$C$3</definedName>
    <definedName name="QB_ROW_20022" localSheetId="0" hidden="1">General!$C$3</definedName>
    <definedName name="QB_ROW_200230" localSheetId="0" hidden="1">General!$D$111</definedName>
    <definedName name="QB_ROW_20322" localSheetId="1" hidden="1">Enterprise!$C$27</definedName>
    <definedName name="QB_ROW_20322" localSheetId="0" hidden="1">General!$C$99</definedName>
    <definedName name="QB_ROW_203230" localSheetId="0" hidden="1">General!$D$113</definedName>
    <definedName name="QB_ROW_204230" localSheetId="0" hidden="1">General!$D$114</definedName>
    <definedName name="QB_ROW_205230" localSheetId="0" hidden="1">General!$D$115</definedName>
    <definedName name="QB_ROW_206230" localSheetId="0" hidden="1">General!#REF!</definedName>
    <definedName name="QB_ROW_207230" localSheetId="0" hidden="1">General!$D$116</definedName>
    <definedName name="QB_ROW_208230" localSheetId="0" hidden="1">General!$D$117</definedName>
    <definedName name="QB_ROW_209230" localSheetId="0" hidden="1">General!$D$118</definedName>
    <definedName name="QB_ROW_21022" localSheetId="1" hidden="1">Enterprise!$C$29</definedName>
    <definedName name="QB_ROW_21022" localSheetId="0" hidden="1">General!$C$101</definedName>
    <definedName name="QB_ROW_211230" localSheetId="0" hidden="1">General!$D$119</definedName>
    <definedName name="QB_ROW_212230" localSheetId="0" hidden="1">General!$D$120</definedName>
    <definedName name="QB_ROW_21322" localSheetId="1" hidden="1">Enterprise!$C$126</definedName>
    <definedName name="QB_ROW_21322" localSheetId="0" hidden="1">General!$C$155</definedName>
    <definedName name="QB_ROW_213230" localSheetId="0" hidden="1">General!$D$124</definedName>
    <definedName name="QB_ROW_215230" localSheetId="0" hidden="1">General!$D$125</definedName>
    <definedName name="QB_ROW_216230" localSheetId="0" hidden="1">General!$D$126</definedName>
    <definedName name="QB_ROW_217230" localSheetId="1" hidden="1">Enterprise!#REF!</definedName>
    <definedName name="QB_ROW_217230" localSheetId="0" hidden="1">General!$D$127</definedName>
    <definedName name="QB_ROW_218230" localSheetId="0" hidden="1">General!$D$128</definedName>
    <definedName name="QB_ROW_219230" localSheetId="0" hidden="1">General!$D$129</definedName>
    <definedName name="QB_ROW_220230" localSheetId="0" hidden="1">General!$D$130</definedName>
    <definedName name="QB_ROW_221230" localSheetId="0" hidden="1">General!$D$131</definedName>
    <definedName name="QB_ROW_222230" localSheetId="0" hidden="1">General!$D$132</definedName>
    <definedName name="QB_ROW_223230" localSheetId="0" hidden="1">General!$D$133</definedName>
    <definedName name="QB_ROW_225230" localSheetId="0" hidden="1">General!$D$136</definedName>
    <definedName name="QB_ROW_226230" localSheetId="0" hidden="1">General!$D$137</definedName>
    <definedName name="QB_ROW_227230" localSheetId="0" hidden="1">General!$D$139</definedName>
    <definedName name="QB_ROW_241230" localSheetId="0" hidden="1">General!$D$144</definedName>
    <definedName name="QB_ROW_243230" localSheetId="0" hidden="1">General!#REF!</definedName>
    <definedName name="QB_ROW_298230" localSheetId="0" hidden="1">General!#REF!</definedName>
    <definedName name="QB_ROW_302230" localSheetId="1" hidden="1">Enterprise!$D$30</definedName>
    <definedName name="QB_ROW_303230" localSheetId="1" hidden="1">Enterprise!$D$31</definedName>
    <definedName name="QB_ROW_304230" localSheetId="1" hidden="1">Enterprise!$D$32</definedName>
    <definedName name="QB_ROW_311230" localSheetId="1" hidden="1">Enterprise!$D$34</definedName>
    <definedName name="QB_ROW_312230" localSheetId="1" hidden="1">Enterprise!$D$35</definedName>
    <definedName name="QB_ROW_313230" localSheetId="1" hidden="1">Enterprise!#REF!</definedName>
    <definedName name="QB_ROW_314230" localSheetId="1" hidden="1">Enterprise!$D$36</definedName>
    <definedName name="QB_ROW_315230" localSheetId="1" hidden="1">Enterprise!#REF!</definedName>
    <definedName name="QB_ROW_318230" localSheetId="1" hidden="1">Enterprise!#REF!</definedName>
    <definedName name="QB_ROW_319230" localSheetId="1" hidden="1">Enterprise!#REF!</definedName>
    <definedName name="QB_ROW_320230" localSheetId="1" hidden="1">Enterprise!#REF!</definedName>
    <definedName name="QB_ROW_321230" localSheetId="1" hidden="1">Enterprise!$D$39</definedName>
    <definedName name="QB_ROW_323230" localSheetId="1" hidden="1">Enterprise!$D$40</definedName>
    <definedName name="QB_ROW_324230" localSheetId="1" hidden="1">Enterprise!$D$41</definedName>
    <definedName name="QB_ROW_325230" localSheetId="1" hidden="1">Enterprise!#REF!</definedName>
    <definedName name="QB_ROW_326230" localSheetId="1" hidden="1">Enterprise!#REF!</definedName>
    <definedName name="QB_ROW_327230" localSheetId="1" hidden="1">Enterprise!$D$44</definedName>
    <definedName name="QB_ROW_329230" localSheetId="1" hidden="1">Enterprise!$D$52</definedName>
    <definedName name="QB_ROW_330230" localSheetId="1" hidden="1">Enterprise!$D$53</definedName>
    <definedName name="QB_ROW_331230" localSheetId="1" hidden="1">Enterprise!$D$112</definedName>
    <definedName name="QB_ROW_332230" localSheetId="1" hidden="1">Enterprise!$D$113</definedName>
    <definedName name="QB_ROW_334230" localSheetId="1" hidden="1">Enterprise!$D$119</definedName>
    <definedName name="QB_ROW_335230" localSheetId="1" hidden="1">Enterprise!#REF!</definedName>
    <definedName name="QB_ROW_336230" localSheetId="1" hidden="1">Enterprise!$D$122</definedName>
    <definedName name="QB_ROW_341230" localSheetId="1" hidden="1">Enterprise!#REF!</definedName>
    <definedName name="QB_ROW_342230" localSheetId="1" hidden="1">Enterprise!$D$124</definedName>
    <definedName name="QB_ROW_392230" localSheetId="0" hidden="1">General!#REF!</definedName>
    <definedName name="QB_ROW_393230" localSheetId="0" hidden="1">General!$D$149</definedName>
    <definedName name="QB_ROW_402230" localSheetId="0" hidden="1">General!$D$150</definedName>
    <definedName name="QB_ROW_403230" localSheetId="0" hidden="1">General!$D$151</definedName>
    <definedName name="QB_ROW_404230" localSheetId="0" hidden="1">General!$D$152</definedName>
    <definedName name="QB_ROW_405230" localSheetId="0" hidden="1">General!$D$153</definedName>
    <definedName name="QB_ROW_406230" localSheetId="0" hidden="1">General!$D$154</definedName>
    <definedName name="QB_ROW_408230" localSheetId="1" hidden="1">Enterprise!#REF!</definedName>
    <definedName name="QB_ROW_411230" localSheetId="1" hidden="1">Enterprise!$D$10</definedName>
    <definedName name="QB_ROW_413230" localSheetId="0" hidden="1">General!$D$104</definedName>
    <definedName name="QB_ROW_414230" localSheetId="0" hidden="1">General!$D$121</definedName>
    <definedName name="QB_ROW_417230" localSheetId="1" hidden="1">Enterprise!#REF!</definedName>
    <definedName name="QB_ROW_418230" localSheetId="1" hidden="1">Enterprise!#REF!</definedName>
    <definedName name="QB_ROW_419230" localSheetId="1" hidden="1">Enterprise!$D$114</definedName>
    <definedName name="QB_ROW_420230" localSheetId="1" hidden="1">Enterprise!$D$120</definedName>
    <definedName name="QB_ROW_421230" localSheetId="1" hidden="1">Enterprise!$D$121</definedName>
    <definedName name="QB_ROW_422230" localSheetId="1" hidden="1">Enterprise!#REF!</definedName>
    <definedName name="QB_ROW_423230" localSheetId="1" hidden="1">Enterprise!$D$125</definedName>
    <definedName name="QB_ROW_447230" localSheetId="1" hidden="1">Enterprise!$D$116</definedName>
    <definedName name="QB_ROW_448230" localSheetId="1" hidden="1">Enterprise!$D$115</definedName>
    <definedName name="QB_ROW_449230" localSheetId="1" hidden="1">Enterprise!$D$118</definedName>
    <definedName name="QB_ROW_47230" localSheetId="0" hidden="1">General!$D$4</definedName>
    <definedName name="QB_ROW_52230" localSheetId="0" hidden="1">General!#REF!</definedName>
    <definedName name="QB_ROW_54230" localSheetId="0" hidden="1">General!$D$7</definedName>
    <definedName name="QB_ROW_55230" localSheetId="0" hidden="1">General!$D$8</definedName>
    <definedName name="QB_ROW_56230" localSheetId="0" hidden="1">General!#REF!</definedName>
    <definedName name="QB_ROW_57230" localSheetId="0" hidden="1">General!$D$10</definedName>
    <definedName name="QB_ROW_58230" localSheetId="0" hidden="1">General!$D$11</definedName>
    <definedName name="QB_ROW_61230" localSheetId="0" hidden="1">General!$D$12</definedName>
    <definedName name="QB_ROW_64230" localSheetId="1" hidden="1">Enterprise!$D$4</definedName>
    <definedName name="QB_ROW_67230" localSheetId="0" hidden="1">General!$D$13</definedName>
    <definedName name="QB_ROW_72230" localSheetId="0" hidden="1">General!$D$14</definedName>
    <definedName name="QB_ROW_73230" localSheetId="0" hidden="1">General!#REF!</definedName>
    <definedName name="QB_ROW_74230" localSheetId="0" hidden="1">General!$D$16</definedName>
    <definedName name="QB_ROW_75230" localSheetId="0" hidden="1">General!$D$17</definedName>
    <definedName name="QB_ROW_81230" localSheetId="0" hidden="1">General!#REF!</definedName>
    <definedName name="QB_ROW_84230" localSheetId="1" hidden="1">Enterprise!$D$6</definedName>
    <definedName name="QB_ROW_85230" localSheetId="1" hidden="1">Enterprise!$D$7</definedName>
    <definedName name="QB_ROW_86230" localSheetId="1" hidden="1">Enterprise!$D$8</definedName>
    <definedName name="QB_ROW_86311" localSheetId="1" hidden="1">Enterprise!#REF!</definedName>
    <definedName name="QB_ROW_86311" localSheetId="0" hidden="1">General!$B$100</definedName>
    <definedName name="QB_ROW_87230" localSheetId="1" hidden="1">Enterprise!$D$9</definedName>
    <definedName name="QB_ROW_89230" localSheetId="1" hidden="1">Enterprise!#REF!</definedName>
    <definedName name="QB_ROW_90230" localSheetId="1" hidden="1">Enterprise!$D$11</definedName>
    <definedName name="QB_ROW_91230" localSheetId="1" hidden="1">Enterprise!$D$12</definedName>
    <definedName name="QB_ROW_99230" localSheetId="0" hidden="1">General!$D$23</definedName>
    <definedName name="QBCANSUPPORTUPDATE" localSheetId="1">TRUE</definedName>
    <definedName name="QBCANSUPPORTUPDATE" localSheetId="0">TRUE</definedName>
    <definedName name="QBCOMPANYFILENAME" localSheetId="1">"Q:\City of Waldo.qbw"</definedName>
    <definedName name="QBCOMPANYFILENAME" localSheetId="0">"Q:\City of Waldo.qbw"</definedName>
    <definedName name="QBENDDATE" localSheetId="1">20170531</definedName>
    <definedName name="QBENDDATE" localSheetId="0">20170531</definedName>
    <definedName name="QBHEADERSONSCREEN" localSheetId="1">FALSE</definedName>
    <definedName name="QBHEADERSONSCREEN" localSheetId="0">FALSE</definedName>
    <definedName name="QBMETADATASIZE" localSheetId="1">5908</definedName>
    <definedName name="QBMETADATASIZE" localSheetId="0">5900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"5958209813d043bd91af126407952062"</definedName>
    <definedName name="QBREPORTCOMPANYID" localSheetId="0">"5958209813d043bd91af126407952062"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4</definedName>
    <definedName name="QBROWHEADERS" localSheetId="0">4</definedName>
    <definedName name="QBSTARTDATE" localSheetId="1">20161001</definedName>
    <definedName name="QBSTARTDATE" localSheetId="0">20161001</definedName>
    <definedName name="RoadsWC">#REF!</definedName>
    <definedName name="WaterW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I126" i="3"/>
  <c r="K125" i="3"/>
  <c r="N124" i="3"/>
  <c r="M124" i="3"/>
  <c r="K124" i="3"/>
  <c r="G124" i="3"/>
  <c r="N123" i="3"/>
  <c r="M123" i="3"/>
  <c r="K123" i="3"/>
  <c r="G123" i="3"/>
  <c r="N122" i="3"/>
  <c r="M122" i="3"/>
  <c r="K122" i="3"/>
  <c r="G122" i="3"/>
  <c r="N121" i="3"/>
  <c r="M121" i="3"/>
  <c r="K121" i="3"/>
  <c r="G121" i="3"/>
  <c r="N120" i="3"/>
  <c r="M120" i="3"/>
  <c r="K120" i="3"/>
  <c r="G120" i="3"/>
  <c r="N119" i="3"/>
  <c r="M119" i="3"/>
  <c r="K119" i="3"/>
  <c r="G119" i="3"/>
  <c r="N118" i="3"/>
  <c r="M118" i="3"/>
  <c r="K118" i="3"/>
  <c r="G118" i="3"/>
  <c r="N117" i="3"/>
  <c r="M117" i="3"/>
  <c r="K117" i="3"/>
  <c r="G117" i="3"/>
  <c r="O116" i="3"/>
  <c r="M116" i="3"/>
  <c r="G116" i="3"/>
  <c r="O115" i="3"/>
  <c r="M115" i="3"/>
  <c r="K115" i="3"/>
  <c r="G115" i="3"/>
  <c r="N115" i="3" s="1"/>
  <c r="M114" i="3"/>
  <c r="K114" i="3"/>
  <c r="G114" i="3"/>
  <c r="N114" i="3" s="1"/>
  <c r="M113" i="3"/>
  <c r="K113" i="3"/>
  <c r="G113" i="3"/>
  <c r="N113" i="3" s="1"/>
  <c r="O112" i="3"/>
  <c r="M112" i="3"/>
  <c r="K112" i="3"/>
  <c r="G112" i="3"/>
  <c r="N112" i="3" s="1"/>
  <c r="M111" i="3"/>
  <c r="K111" i="3"/>
  <c r="G111" i="3"/>
  <c r="N111" i="3" s="1"/>
  <c r="M110" i="3"/>
  <c r="K110" i="3"/>
  <c r="G110" i="3"/>
  <c r="N110" i="3" s="1"/>
  <c r="M109" i="3"/>
  <c r="K109" i="3"/>
  <c r="G109" i="3"/>
  <c r="N109" i="3" s="1"/>
  <c r="N108" i="3"/>
  <c r="M108" i="3"/>
  <c r="K108" i="3"/>
  <c r="G108" i="3"/>
  <c r="M107" i="3"/>
  <c r="G107" i="3"/>
  <c r="M106" i="3"/>
  <c r="K106" i="3"/>
  <c r="G106" i="3"/>
  <c r="N106" i="3" s="1"/>
  <c r="M105" i="3"/>
  <c r="K105" i="3"/>
  <c r="G105" i="3"/>
  <c r="N105" i="3" s="1"/>
  <c r="N104" i="3"/>
  <c r="M104" i="3"/>
  <c r="K104" i="3"/>
  <c r="G104" i="3"/>
  <c r="K103" i="3"/>
  <c r="G103" i="3"/>
  <c r="M102" i="3"/>
  <c r="K102" i="3"/>
  <c r="G102" i="3"/>
  <c r="N102" i="3" s="1"/>
  <c r="M101" i="3"/>
  <c r="K101" i="3"/>
  <c r="G101" i="3"/>
  <c r="N101" i="3" s="1"/>
  <c r="M100" i="3"/>
  <c r="K100" i="3"/>
  <c r="G100" i="3"/>
  <c r="N100" i="3" s="1"/>
  <c r="M99" i="3"/>
  <c r="K99" i="3"/>
  <c r="G99" i="3"/>
  <c r="N99" i="3" s="1"/>
  <c r="M98" i="3"/>
  <c r="K98" i="3"/>
  <c r="G98" i="3"/>
  <c r="N98" i="3" s="1"/>
  <c r="O97" i="3"/>
  <c r="M97" i="3"/>
  <c r="K97" i="3"/>
  <c r="G97" i="3"/>
  <c r="N97" i="3" s="1"/>
  <c r="O96" i="3"/>
  <c r="N96" i="3"/>
  <c r="M96" i="3"/>
  <c r="K96" i="3"/>
  <c r="G96" i="3"/>
  <c r="N95" i="3"/>
  <c r="M95" i="3"/>
  <c r="K95" i="3"/>
  <c r="G95" i="3"/>
  <c r="O94" i="3"/>
  <c r="M94" i="3"/>
  <c r="G94" i="3"/>
  <c r="M93" i="3"/>
  <c r="G93" i="3"/>
  <c r="M92" i="3"/>
  <c r="G92" i="3"/>
  <c r="M91" i="3"/>
  <c r="K91" i="3"/>
  <c r="G91" i="3"/>
  <c r="N91" i="3" s="1"/>
  <c r="M90" i="3"/>
  <c r="K90" i="3"/>
  <c r="G90" i="3"/>
  <c r="N90" i="3" s="1"/>
  <c r="N89" i="3"/>
  <c r="M89" i="3"/>
  <c r="K89" i="3"/>
  <c r="G89" i="3"/>
  <c r="M88" i="3"/>
  <c r="G88" i="3"/>
  <c r="M87" i="3"/>
  <c r="G87" i="3"/>
  <c r="M86" i="3"/>
  <c r="K86" i="3"/>
  <c r="G86" i="3"/>
  <c r="N86" i="3" s="1"/>
  <c r="K85" i="3"/>
  <c r="G85" i="3"/>
  <c r="N84" i="3"/>
  <c r="M84" i="3"/>
  <c r="K84" i="3"/>
  <c r="G84" i="3"/>
  <c r="N83" i="3"/>
  <c r="M83" i="3"/>
  <c r="K83" i="3"/>
  <c r="G83" i="3"/>
  <c r="N82" i="3"/>
  <c r="M82" i="3"/>
  <c r="K82" i="3"/>
  <c r="G82" i="3"/>
  <c r="O81" i="3"/>
  <c r="M81" i="3"/>
  <c r="G81" i="3"/>
  <c r="M80" i="3"/>
  <c r="G80" i="3"/>
  <c r="O79" i="3"/>
  <c r="M79" i="3"/>
  <c r="K79" i="3"/>
  <c r="G79" i="3"/>
  <c r="N79" i="3" s="1"/>
  <c r="M78" i="3"/>
  <c r="K78" i="3"/>
  <c r="G78" i="3"/>
  <c r="N78" i="3" s="1"/>
  <c r="M77" i="3"/>
  <c r="K77" i="3"/>
  <c r="G77" i="3"/>
  <c r="N77" i="3" s="1"/>
  <c r="M76" i="3"/>
  <c r="K76" i="3"/>
  <c r="G76" i="3"/>
  <c r="N76" i="3" s="1"/>
  <c r="N75" i="3"/>
  <c r="M75" i="3"/>
  <c r="K75" i="3"/>
  <c r="G75" i="3"/>
  <c r="M74" i="3"/>
  <c r="G74" i="3"/>
  <c r="M73" i="3"/>
  <c r="K73" i="3"/>
  <c r="G73" i="3"/>
  <c r="N73" i="3" s="1"/>
  <c r="M72" i="3"/>
  <c r="K72" i="3"/>
  <c r="G72" i="3"/>
  <c r="N72" i="3" s="1"/>
  <c r="G71" i="3"/>
  <c r="K71" i="3" s="1"/>
  <c r="M70" i="3"/>
  <c r="G70" i="3"/>
  <c r="M69" i="3"/>
  <c r="G69" i="3"/>
  <c r="M68" i="3"/>
  <c r="G68" i="3"/>
  <c r="M67" i="3"/>
  <c r="G67" i="3"/>
  <c r="O66" i="3"/>
  <c r="M66" i="3"/>
  <c r="K66" i="3"/>
  <c r="G66" i="3"/>
  <c r="N66" i="3" s="1"/>
  <c r="M65" i="3"/>
  <c r="K65" i="3"/>
  <c r="G65" i="3"/>
  <c r="N65" i="3" s="1"/>
  <c r="M64" i="3"/>
  <c r="K64" i="3"/>
  <c r="G64" i="3"/>
  <c r="N64" i="3" s="1"/>
  <c r="M63" i="3"/>
  <c r="K63" i="3"/>
  <c r="G63" i="3"/>
  <c r="N63" i="3" s="1"/>
  <c r="M62" i="3"/>
  <c r="K62" i="3"/>
  <c r="G62" i="3"/>
  <c r="N62" i="3" s="1"/>
  <c r="M61" i="3"/>
  <c r="K61" i="3"/>
  <c r="G61" i="3"/>
  <c r="N61" i="3" s="1"/>
  <c r="M60" i="3"/>
  <c r="K60" i="3"/>
  <c r="G60" i="3"/>
  <c r="N60" i="3" s="1"/>
  <c r="N59" i="3"/>
  <c r="M59" i="3"/>
  <c r="K59" i="3"/>
  <c r="G59" i="3"/>
  <c r="M58" i="3"/>
  <c r="G58" i="3"/>
  <c r="M57" i="3"/>
  <c r="K57" i="3"/>
  <c r="G57" i="3"/>
  <c r="N57" i="3" s="1"/>
  <c r="M56" i="3"/>
  <c r="K56" i="3"/>
  <c r="G56" i="3"/>
  <c r="N56" i="3" s="1"/>
  <c r="M55" i="3"/>
  <c r="K55" i="3"/>
  <c r="G55" i="3"/>
  <c r="N55" i="3" s="1"/>
  <c r="K54" i="3"/>
  <c r="G54" i="3"/>
  <c r="N54" i="3" s="1"/>
  <c r="M53" i="3"/>
  <c r="K53" i="3"/>
  <c r="G53" i="3"/>
  <c r="N53" i="3" s="1"/>
  <c r="M52" i="3"/>
  <c r="K52" i="3"/>
  <c r="G52" i="3"/>
  <c r="N52" i="3" s="1"/>
  <c r="O52" i="3" s="1"/>
  <c r="E52" i="3"/>
  <c r="E126" i="3" s="1"/>
  <c r="N51" i="3"/>
  <c r="M51" i="3"/>
  <c r="K51" i="3"/>
  <c r="G51" i="3"/>
  <c r="N50" i="3"/>
  <c r="M50" i="3"/>
  <c r="K50" i="3"/>
  <c r="G50" i="3"/>
  <c r="M49" i="3"/>
  <c r="G49" i="3"/>
  <c r="M48" i="3"/>
  <c r="K48" i="3"/>
  <c r="G48" i="3"/>
  <c r="N48" i="3" s="1"/>
  <c r="M47" i="3"/>
  <c r="K47" i="3"/>
  <c r="G47" i="3"/>
  <c r="N47" i="3" s="1"/>
  <c r="N46" i="3"/>
  <c r="M46" i="3"/>
  <c r="K46" i="3"/>
  <c r="G46" i="3"/>
  <c r="M45" i="3"/>
  <c r="G45" i="3"/>
  <c r="K44" i="3"/>
  <c r="G44" i="3"/>
  <c r="O43" i="3"/>
  <c r="N43" i="3"/>
  <c r="M43" i="3"/>
  <c r="K43" i="3"/>
  <c r="O42" i="3"/>
  <c r="N42" i="3"/>
  <c r="M42" i="3"/>
  <c r="K42" i="3"/>
  <c r="G42" i="3"/>
  <c r="N41" i="3"/>
  <c r="M41" i="3"/>
  <c r="K41" i="3"/>
  <c r="O40" i="3"/>
  <c r="N40" i="3"/>
  <c r="M40" i="3"/>
  <c r="K40" i="3"/>
  <c r="O39" i="3"/>
  <c r="N39" i="3"/>
  <c r="M39" i="3"/>
  <c r="K39" i="3"/>
  <c r="M38" i="3"/>
  <c r="K38" i="3"/>
  <c r="G38" i="3"/>
  <c r="N38" i="3" s="1"/>
  <c r="M37" i="3"/>
  <c r="K37" i="3"/>
  <c r="G37" i="3"/>
  <c r="N37" i="3" s="1"/>
  <c r="G36" i="3"/>
  <c r="K36" i="3" s="1"/>
  <c r="M35" i="3"/>
  <c r="G35" i="3"/>
  <c r="M34" i="3"/>
  <c r="G34" i="3"/>
  <c r="M33" i="3"/>
  <c r="G33" i="3"/>
  <c r="M32" i="3"/>
  <c r="G32" i="3"/>
  <c r="M31" i="3"/>
  <c r="G31" i="3"/>
  <c r="K30" i="3"/>
  <c r="I27" i="3"/>
  <c r="I127" i="3" s="1"/>
  <c r="E27" i="3"/>
  <c r="E127" i="3" s="1"/>
  <c r="M25" i="3"/>
  <c r="G25" i="3"/>
  <c r="M24" i="3"/>
  <c r="G24" i="3"/>
  <c r="M23" i="3"/>
  <c r="G23" i="3"/>
  <c r="E23" i="3"/>
  <c r="M22" i="3"/>
  <c r="K22" i="3"/>
  <c r="G22" i="3"/>
  <c r="N22" i="3" s="1"/>
  <c r="M21" i="3"/>
  <c r="K21" i="3"/>
  <c r="G21" i="3"/>
  <c r="N21" i="3" s="1"/>
  <c r="M20" i="3"/>
  <c r="K20" i="3"/>
  <c r="G20" i="3"/>
  <c r="N20" i="3" s="1"/>
  <c r="M19" i="3"/>
  <c r="K19" i="3"/>
  <c r="G19" i="3"/>
  <c r="N19" i="3" s="1"/>
  <c r="N18" i="3"/>
  <c r="G18" i="3"/>
  <c r="N17" i="3"/>
  <c r="M17" i="3"/>
  <c r="G17" i="3"/>
  <c r="M16" i="3"/>
  <c r="K16" i="3"/>
  <c r="G16" i="3"/>
  <c r="N16" i="3" s="1"/>
  <c r="G15" i="3"/>
  <c r="N14" i="3"/>
  <c r="M14" i="3"/>
  <c r="G14" i="3"/>
  <c r="M13" i="3"/>
  <c r="K13" i="3"/>
  <c r="G13" i="3"/>
  <c r="N13" i="3" s="1"/>
  <c r="M12" i="3"/>
  <c r="K12" i="3"/>
  <c r="G12" i="3"/>
  <c r="M11" i="3"/>
  <c r="K11" i="3"/>
  <c r="G11" i="3"/>
  <c r="N11" i="3" s="1"/>
  <c r="G10" i="3"/>
  <c r="M9" i="3"/>
  <c r="M27" i="3" s="1"/>
  <c r="K9" i="3"/>
  <c r="G9" i="3"/>
  <c r="N9" i="3" s="1"/>
  <c r="M8" i="3"/>
  <c r="K8" i="3"/>
  <c r="G8" i="3"/>
  <c r="M7" i="3"/>
  <c r="K7" i="3"/>
  <c r="G7" i="3"/>
  <c r="N7" i="3" s="1"/>
  <c r="G6" i="3"/>
  <c r="O5" i="3"/>
  <c r="O27" i="3" s="1"/>
  <c r="N5" i="3"/>
  <c r="M5" i="3"/>
  <c r="K5" i="3"/>
  <c r="G5" i="3"/>
  <c r="I247" i="2"/>
  <c r="I246" i="2"/>
  <c r="M244" i="2"/>
  <c r="K244" i="2"/>
  <c r="G244" i="2"/>
  <c r="N244" i="2" s="1"/>
  <c r="M243" i="2"/>
  <c r="K243" i="2"/>
  <c r="G243" i="2"/>
  <c r="N243" i="2" s="1"/>
  <c r="M242" i="2"/>
  <c r="K242" i="2"/>
  <c r="G242" i="2"/>
  <c r="N242" i="2" s="1"/>
  <c r="M240" i="2"/>
  <c r="K240" i="2"/>
  <c r="G240" i="2"/>
  <c r="N240" i="2" s="1"/>
  <c r="M237" i="2"/>
  <c r="K237" i="2"/>
  <c r="G237" i="2"/>
  <c r="N237" i="2" s="1"/>
  <c r="M236" i="2"/>
  <c r="K236" i="2"/>
  <c r="G236" i="2"/>
  <c r="N236" i="2" s="1"/>
  <c r="M235" i="2"/>
  <c r="K235" i="2"/>
  <c r="G235" i="2"/>
  <c r="N235" i="2" s="1"/>
  <c r="M234" i="2"/>
  <c r="K234" i="2"/>
  <c r="G234" i="2"/>
  <c r="N234" i="2" s="1"/>
  <c r="M233" i="2"/>
  <c r="G233" i="2"/>
  <c r="N233" i="2" s="1"/>
  <c r="M232" i="2"/>
  <c r="G232" i="2"/>
  <c r="M231" i="2"/>
  <c r="G231" i="2"/>
  <c r="N228" i="2"/>
  <c r="M228" i="2"/>
  <c r="G228" i="2"/>
  <c r="N227" i="2"/>
  <c r="M227" i="2"/>
  <c r="G227" i="2"/>
  <c r="N226" i="2"/>
  <c r="M226" i="2"/>
  <c r="K226" i="2"/>
  <c r="G226" i="2"/>
  <c r="N225" i="2"/>
  <c r="M225" i="2"/>
  <c r="K225" i="2"/>
  <c r="G225" i="2"/>
  <c r="N222" i="2"/>
  <c r="M222" i="2"/>
  <c r="K222" i="2"/>
  <c r="G222" i="2"/>
  <c r="N221" i="2"/>
  <c r="M221" i="2"/>
  <c r="K221" i="2"/>
  <c r="G221" i="2"/>
  <c r="O220" i="2"/>
  <c r="N220" i="2"/>
  <c r="M220" i="2"/>
  <c r="G220" i="2"/>
  <c r="K220" i="2" s="1"/>
  <c r="N219" i="2"/>
  <c r="M219" i="2"/>
  <c r="G219" i="2"/>
  <c r="K219" i="2" s="1"/>
  <c r="N218" i="2"/>
  <c r="M218" i="2"/>
  <c r="G218" i="2"/>
  <c r="K218" i="2" s="1"/>
  <c r="O217" i="2"/>
  <c r="M217" i="2"/>
  <c r="G217" i="2"/>
  <c r="M216" i="2"/>
  <c r="G216" i="2"/>
  <c r="N216" i="2" s="1"/>
  <c r="M215" i="2"/>
  <c r="G215" i="2"/>
  <c r="N215" i="2" s="1"/>
  <c r="M214" i="2"/>
  <c r="G214" i="2"/>
  <c r="M213" i="2"/>
  <c r="G213" i="2"/>
  <c r="M212" i="2"/>
  <c r="K212" i="2"/>
  <c r="G212" i="2"/>
  <c r="N212" i="2" s="1"/>
  <c r="M209" i="2"/>
  <c r="K209" i="2"/>
  <c r="G209" i="2"/>
  <c r="N209" i="2" s="1"/>
  <c r="M208" i="2"/>
  <c r="K208" i="2"/>
  <c r="G208" i="2"/>
  <c r="N208" i="2" s="1"/>
  <c r="M207" i="2"/>
  <c r="K207" i="2"/>
  <c r="G207" i="2"/>
  <c r="N207" i="2" s="1"/>
  <c r="M206" i="2"/>
  <c r="K206" i="2"/>
  <c r="G206" i="2"/>
  <c r="N206" i="2" s="1"/>
  <c r="M205" i="2"/>
  <c r="K205" i="2"/>
  <c r="G205" i="2"/>
  <c r="N205" i="2" s="1"/>
  <c r="M204" i="2"/>
  <c r="K204" i="2"/>
  <c r="G204" i="2"/>
  <c r="N204" i="2" s="1"/>
  <c r="M203" i="2"/>
  <c r="K203" i="2"/>
  <c r="G203" i="2"/>
  <c r="N203" i="2" s="1"/>
  <c r="M202" i="2"/>
  <c r="K202" i="2"/>
  <c r="G202" i="2"/>
  <c r="N202" i="2" s="1"/>
  <c r="M201" i="2"/>
  <c r="K201" i="2"/>
  <c r="G201" i="2"/>
  <c r="N201" i="2" s="1"/>
  <c r="O200" i="2"/>
  <c r="N200" i="2"/>
  <c r="M200" i="2"/>
  <c r="K200" i="2"/>
  <c r="G200" i="2"/>
  <c r="O199" i="2"/>
  <c r="M199" i="2"/>
  <c r="G199" i="2"/>
  <c r="O198" i="2"/>
  <c r="M198" i="2"/>
  <c r="G198" i="2"/>
  <c r="N198" i="2" s="1"/>
  <c r="O197" i="2"/>
  <c r="M197" i="2"/>
  <c r="K197" i="2"/>
  <c r="G197" i="2"/>
  <c r="N197" i="2" s="1"/>
  <c r="O196" i="2"/>
  <c r="M196" i="2"/>
  <c r="K196" i="2"/>
  <c r="G196" i="2"/>
  <c r="N196" i="2" s="1"/>
  <c r="M195" i="2"/>
  <c r="K195" i="2"/>
  <c r="G195" i="2"/>
  <c r="N195" i="2" s="1"/>
  <c r="M194" i="2"/>
  <c r="K194" i="2"/>
  <c r="G194" i="2"/>
  <c r="N194" i="2" s="1"/>
  <c r="M191" i="2"/>
  <c r="G191" i="2"/>
  <c r="M188" i="2"/>
  <c r="K188" i="2"/>
  <c r="G188" i="2"/>
  <c r="N188" i="2" s="1"/>
  <c r="M185" i="2"/>
  <c r="K185" i="2"/>
  <c r="G185" i="2"/>
  <c r="N185" i="2" s="1"/>
  <c r="M184" i="2"/>
  <c r="K184" i="2"/>
  <c r="G184" i="2"/>
  <c r="N184" i="2" s="1"/>
  <c r="M183" i="2"/>
  <c r="G183" i="2"/>
  <c r="M182" i="2"/>
  <c r="K182" i="2"/>
  <c r="G182" i="2"/>
  <c r="N182" i="2" s="1"/>
  <c r="M181" i="2"/>
  <c r="K181" i="2"/>
  <c r="G181" i="2"/>
  <c r="N181" i="2" s="1"/>
  <c r="M180" i="2"/>
  <c r="K180" i="2"/>
  <c r="G180" i="2"/>
  <c r="N180" i="2" s="1"/>
  <c r="M179" i="2"/>
  <c r="G179" i="2"/>
  <c r="O178" i="2"/>
  <c r="N178" i="2"/>
  <c r="M178" i="2"/>
  <c r="K178" i="2"/>
  <c r="G178" i="2"/>
  <c r="N177" i="2"/>
  <c r="M177" i="2"/>
  <c r="K177" i="2"/>
  <c r="G177" i="2"/>
  <c r="N176" i="2"/>
  <c r="M176" i="2"/>
  <c r="K176" i="2"/>
  <c r="G176" i="2"/>
  <c r="N175" i="2"/>
  <c r="M175" i="2"/>
  <c r="K175" i="2"/>
  <c r="G175" i="2"/>
  <c r="O174" i="2"/>
  <c r="M174" i="2"/>
  <c r="G174" i="2"/>
  <c r="K174" i="2" s="1"/>
  <c r="E174" i="2"/>
  <c r="E246" i="2" s="1"/>
  <c r="N173" i="2"/>
  <c r="M173" i="2"/>
  <c r="K173" i="2"/>
  <c r="N172" i="2"/>
  <c r="M172" i="2"/>
  <c r="K172" i="2"/>
  <c r="N171" i="2"/>
  <c r="M171" i="2"/>
  <c r="K171" i="2"/>
  <c r="M170" i="2"/>
  <c r="G170" i="2"/>
  <c r="N170" i="2" s="1"/>
  <c r="M169" i="2"/>
  <c r="G169" i="2"/>
  <c r="N169" i="2" s="1"/>
  <c r="N168" i="2"/>
  <c r="M168" i="2"/>
  <c r="K168" i="2"/>
  <c r="M167" i="2"/>
  <c r="G167" i="2"/>
  <c r="M166" i="2"/>
  <c r="K166" i="2"/>
  <c r="G166" i="2"/>
  <c r="N166" i="2" s="1"/>
  <c r="N165" i="2"/>
  <c r="M165" i="2"/>
  <c r="K165" i="2"/>
  <c r="M164" i="2"/>
  <c r="K164" i="2"/>
  <c r="G164" i="2"/>
  <c r="N164" i="2" s="1"/>
  <c r="N163" i="2"/>
  <c r="M163" i="2"/>
  <c r="K163" i="2"/>
  <c r="G163" i="2"/>
  <c r="N160" i="2"/>
  <c r="M160" i="2"/>
  <c r="K160" i="2"/>
  <c r="G160" i="2"/>
  <c r="N159" i="2"/>
  <c r="M159" i="2"/>
  <c r="K159" i="2"/>
  <c r="G159" i="2"/>
  <c r="N158" i="2"/>
  <c r="M158" i="2"/>
  <c r="G158" i="2"/>
  <c r="M157" i="2"/>
  <c r="K157" i="2"/>
  <c r="G157" i="2"/>
  <c r="N157" i="2" s="1"/>
  <c r="N156" i="2"/>
  <c r="M156" i="2"/>
  <c r="G156" i="2"/>
  <c r="N155" i="2"/>
  <c r="M155" i="2"/>
  <c r="K155" i="2"/>
  <c r="G155" i="2"/>
  <c r="M154" i="2"/>
  <c r="G154" i="2"/>
  <c r="M151" i="2"/>
  <c r="G151" i="2"/>
  <c r="N150" i="2"/>
  <c r="M150" i="2"/>
  <c r="G150" i="2"/>
  <c r="N149" i="2"/>
  <c r="M149" i="2"/>
  <c r="G149" i="2"/>
  <c r="M148" i="2"/>
  <c r="K148" i="2"/>
  <c r="G148" i="2"/>
  <c r="N148" i="2" s="1"/>
  <c r="M147" i="2"/>
  <c r="K147" i="2"/>
  <c r="G147" i="2"/>
  <c r="N147" i="2" s="1"/>
  <c r="O146" i="2"/>
  <c r="N146" i="2"/>
  <c r="M146" i="2"/>
  <c r="K146" i="2"/>
  <c r="M145" i="2"/>
  <c r="K145" i="2"/>
  <c r="G145" i="2"/>
  <c r="N145" i="2" s="1"/>
  <c r="M144" i="2"/>
  <c r="K144" i="2"/>
  <c r="G144" i="2"/>
  <c r="N144" i="2" s="1"/>
  <c r="M143" i="2"/>
  <c r="G143" i="2"/>
  <c r="N143" i="2" s="1"/>
  <c r="M142" i="2"/>
  <c r="G142" i="2"/>
  <c r="N142" i="2" s="1"/>
  <c r="N141" i="2"/>
  <c r="M141" i="2"/>
  <c r="G141" i="2"/>
  <c r="N140" i="2"/>
  <c r="M140" i="2"/>
  <c r="K140" i="2"/>
  <c r="M139" i="2"/>
  <c r="K139" i="2"/>
  <c r="G139" i="2"/>
  <c r="N139" i="2" s="1"/>
  <c r="N138" i="2"/>
  <c r="M138" i="2"/>
  <c r="K138" i="2"/>
  <c r="M137" i="2"/>
  <c r="K137" i="2"/>
  <c r="G137" i="2"/>
  <c r="N137" i="2" s="1"/>
  <c r="M136" i="2"/>
  <c r="K136" i="2"/>
  <c r="G136" i="2"/>
  <c r="N136" i="2" s="1"/>
  <c r="M132" i="2"/>
  <c r="K132" i="2"/>
  <c r="G132" i="2"/>
  <c r="N132" i="2" s="1"/>
  <c r="M131" i="2"/>
  <c r="K131" i="2"/>
  <c r="G131" i="2"/>
  <c r="N131" i="2" s="1"/>
  <c r="M130" i="2"/>
  <c r="K130" i="2"/>
  <c r="G130" i="2"/>
  <c r="N130" i="2" s="1"/>
  <c r="M129" i="2"/>
  <c r="K129" i="2"/>
  <c r="G129" i="2"/>
  <c r="N129" i="2" s="1"/>
  <c r="O128" i="2"/>
  <c r="M128" i="2"/>
  <c r="K128" i="2"/>
  <c r="G128" i="2"/>
  <c r="N128" i="2" s="1"/>
  <c r="M127" i="2"/>
  <c r="K127" i="2"/>
  <c r="G127" i="2"/>
  <c r="N127" i="2" s="1"/>
  <c r="M126" i="2"/>
  <c r="K126" i="2"/>
  <c r="G126" i="2"/>
  <c r="N126" i="2" s="1"/>
  <c r="M125" i="2"/>
  <c r="K125" i="2"/>
  <c r="G125" i="2"/>
  <c r="N125" i="2" s="1"/>
  <c r="M124" i="2"/>
  <c r="K124" i="2"/>
  <c r="G124" i="2"/>
  <c r="N124" i="2" s="1"/>
  <c r="N123" i="2"/>
  <c r="M123" i="2"/>
  <c r="K123" i="2"/>
  <c r="G123" i="2"/>
  <c r="M122" i="2"/>
  <c r="G122" i="2"/>
  <c r="M121" i="2"/>
  <c r="K121" i="2"/>
  <c r="G121" i="2"/>
  <c r="N121" i="2" s="1"/>
  <c r="M120" i="2"/>
  <c r="K120" i="2"/>
  <c r="G120" i="2"/>
  <c r="N120" i="2" s="1"/>
  <c r="N119" i="2"/>
  <c r="M119" i="2"/>
  <c r="K119" i="2"/>
  <c r="G119" i="2"/>
  <c r="N116" i="2"/>
  <c r="M116" i="2"/>
  <c r="K116" i="2"/>
  <c r="G116" i="2"/>
  <c r="N115" i="2"/>
  <c r="M115" i="2"/>
  <c r="K115" i="2"/>
  <c r="G115" i="2"/>
  <c r="N114" i="2"/>
  <c r="M114" i="2"/>
  <c r="K114" i="2"/>
  <c r="G114" i="2"/>
  <c r="N110" i="2"/>
  <c r="M110" i="2"/>
  <c r="K110" i="2"/>
  <c r="G110" i="2"/>
  <c r="N109" i="2"/>
  <c r="M109" i="2"/>
  <c r="K109" i="2"/>
  <c r="G109" i="2"/>
  <c r="N108" i="2"/>
  <c r="M108" i="2"/>
  <c r="K108" i="2"/>
  <c r="G108" i="2"/>
  <c r="N107" i="2"/>
  <c r="M107" i="2"/>
  <c r="K107" i="2"/>
  <c r="G107" i="2"/>
  <c r="N106" i="2"/>
  <c r="M106" i="2"/>
  <c r="K106" i="2"/>
  <c r="G106" i="2"/>
  <c r="N105" i="2"/>
  <c r="M105" i="2"/>
  <c r="K105" i="2"/>
  <c r="G105" i="2"/>
  <c r="N104" i="2"/>
  <c r="M104" i="2"/>
  <c r="K104" i="2"/>
  <c r="G104" i="2"/>
  <c r="N103" i="2"/>
  <c r="M103" i="2"/>
  <c r="K103" i="2"/>
  <c r="G103" i="2"/>
  <c r="N102" i="2"/>
  <c r="I99" i="2"/>
  <c r="E99" i="2"/>
  <c r="E247" i="2" s="1"/>
  <c r="N97" i="2"/>
  <c r="M97" i="2"/>
  <c r="K97" i="2"/>
  <c r="N96" i="2"/>
  <c r="M96" i="2"/>
  <c r="K96" i="2"/>
  <c r="N95" i="2"/>
  <c r="M95" i="2"/>
  <c r="K95" i="2"/>
  <c r="N94" i="2"/>
  <c r="M94" i="2"/>
  <c r="K94" i="2"/>
  <c r="G94" i="2"/>
  <c r="N93" i="2"/>
  <c r="M93" i="2"/>
  <c r="K93" i="2"/>
  <c r="G93" i="2"/>
  <c r="N92" i="2"/>
  <c r="M92" i="2"/>
  <c r="K92" i="2"/>
  <c r="G92" i="2"/>
  <c r="N91" i="2"/>
  <c r="M91" i="2"/>
  <c r="K91" i="2"/>
  <c r="G91" i="2"/>
  <c r="N90" i="2"/>
  <c r="M90" i="2"/>
  <c r="K90" i="2"/>
  <c r="G90" i="2"/>
  <c r="N88" i="2"/>
  <c r="M88" i="2"/>
  <c r="K88" i="2"/>
  <c r="M85" i="2"/>
  <c r="G85" i="2"/>
  <c r="K85" i="2" s="1"/>
  <c r="M84" i="2"/>
  <c r="G84" i="2"/>
  <c r="K84" i="2" s="1"/>
  <c r="O83" i="2"/>
  <c r="N83" i="2"/>
  <c r="M83" i="2"/>
  <c r="K83" i="2"/>
  <c r="G83" i="2"/>
  <c r="N80" i="2"/>
  <c r="M80" i="2"/>
  <c r="K80" i="2"/>
  <c r="G80" i="2"/>
  <c r="N79" i="2"/>
  <c r="M79" i="2"/>
  <c r="K79" i="2"/>
  <c r="G79" i="2"/>
  <c r="N78" i="2"/>
  <c r="M78" i="2"/>
  <c r="K78" i="2"/>
  <c r="G78" i="2"/>
  <c r="N77" i="2"/>
  <c r="M77" i="2"/>
  <c r="K77" i="2"/>
  <c r="M76" i="2"/>
  <c r="G76" i="2"/>
  <c r="K76" i="2" s="1"/>
  <c r="M75" i="2"/>
  <c r="G75" i="2"/>
  <c r="K75" i="2" s="1"/>
  <c r="M74" i="2"/>
  <c r="G74" i="2"/>
  <c r="K74" i="2" s="1"/>
  <c r="M73" i="2"/>
  <c r="G73" i="2"/>
  <c r="K73" i="2" s="1"/>
  <c r="M70" i="2"/>
  <c r="G70" i="2"/>
  <c r="K70" i="2" s="1"/>
  <c r="M69" i="2"/>
  <c r="G69" i="2"/>
  <c r="K69" i="2" s="1"/>
  <c r="M68" i="2"/>
  <c r="G68" i="2"/>
  <c r="K68" i="2" s="1"/>
  <c r="M67" i="2"/>
  <c r="G67" i="2"/>
  <c r="K67" i="2" s="1"/>
  <c r="N64" i="2"/>
  <c r="M64" i="2"/>
  <c r="K64" i="2"/>
  <c r="N63" i="2"/>
  <c r="M63" i="2"/>
  <c r="K63" i="2"/>
  <c r="G63" i="2"/>
  <c r="N60" i="2"/>
  <c r="M60" i="2"/>
  <c r="K60" i="2"/>
  <c r="G60" i="2"/>
  <c r="N59" i="2"/>
  <c r="M59" i="2"/>
  <c r="K59" i="2"/>
  <c r="G59" i="2"/>
  <c r="N58" i="2"/>
  <c r="M58" i="2"/>
  <c r="K58" i="2"/>
  <c r="G58" i="2"/>
  <c r="N57" i="2"/>
  <c r="M57" i="2"/>
  <c r="K57" i="2"/>
  <c r="G57" i="2"/>
  <c r="N56" i="2"/>
  <c r="M56" i="2"/>
  <c r="K56" i="2"/>
  <c r="G56" i="2"/>
  <c r="N53" i="2"/>
  <c r="M53" i="2"/>
  <c r="K53" i="2"/>
  <c r="G53" i="2"/>
  <c r="N52" i="2"/>
  <c r="M52" i="2"/>
  <c r="K52" i="2"/>
  <c r="G52" i="2"/>
  <c r="N49" i="2"/>
  <c r="M49" i="2"/>
  <c r="K49" i="2"/>
  <c r="M48" i="2"/>
  <c r="G48" i="2"/>
  <c r="N47" i="2"/>
  <c r="M47" i="2"/>
  <c r="K47" i="2"/>
  <c r="N46" i="2"/>
  <c r="M46" i="2"/>
  <c r="K46" i="2"/>
  <c r="G46" i="2"/>
  <c r="N45" i="2"/>
  <c r="M45" i="2"/>
  <c r="K45" i="2"/>
  <c r="M42" i="2"/>
  <c r="G42" i="2"/>
  <c r="K42" i="2" s="1"/>
  <c r="M41" i="2"/>
  <c r="G41" i="2"/>
  <c r="O40" i="2"/>
  <c r="N40" i="2"/>
  <c r="M40" i="2"/>
  <c r="K40" i="2"/>
  <c r="G40" i="2"/>
  <c r="N39" i="2"/>
  <c r="M39" i="2"/>
  <c r="K39" i="2"/>
  <c r="N38" i="2"/>
  <c r="M38" i="2"/>
  <c r="K38" i="2"/>
  <c r="N37" i="2"/>
  <c r="M37" i="2"/>
  <c r="K37" i="2"/>
  <c r="G37" i="2"/>
  <c r="N36" i="2"/>
  <c r="M36" i="2"/>
  <c r="K36" i="2"/>
  <c r="G36" i="2"/>
  <c r="N35" i="2"/>
  <c r="M35" i="2"/>
  <c r="K35" i="2"/>
  <c r="M32" i="2"/>
  <c r="G32" i="2"/>
  <c r="M31" i="2"/>
  <c r="G31" i="2"/>
  <c r="G30" i="2"/>
  <c r="G29" i="2"/>
  <c r="M28" i="2"/>
  <c r="G28" i="2"/>
  <c r="M27" i="2"/>
  <c r="K27" i="2"/>
  <c r="G27" i="2"/>
  <c r="N27" i="2" s="1"/>
  <c r="M26" i="2"/>
  <c r="G26" i="2"/>
  <c r="N26" i="2" s="1"/>
  <c r="M25" i="2"/>
  <c r="K25" i="2"/>
  <c r="G25" i="2"/>
  <c r="N25" i="2" s="1"/>
  <c r="M24" i="2"/>
  <c r="G24" i="2"/>
  <c r="M23" i="2"/>
  <c r="K23" i="2"/>
  <c r="G23" i="2"/>
  <c r="N23" i="2" s="1"/>
  <c r="M22" i="2"/>
  <c r="G22" i="2"/>
  <c r="N22" i="2" s="1"/>
  <c r="M21" i="2"/>
  <c r="K21" i="2"/>
  <c r="G21" i="2"/>
  <c r="N21" i="2" s="1"/>
  <c r="G20" i="2"/>
  <c r="G19" i="2"/>
  <c r="N18" i="2"/>
  <c r="M18" i="2"/>
  <c r="G18" i="2"/>
  <c r="K18" i="2" s="1"/>
  <c r="O17" i="2"/>
  <c r="N17" i="2"/>
  <c r="M17" i="2"/>
  <c r="K17" i="2"/>
  <c r="G17" i="2"/>
  <c r="N16" i="2"/>
  <c r="M16" i="2"/>
  <c r="K16" i="2"/>
  <c r="G16" i="2"/>
  <c r="G15" i="2"/>
  <c r="O14" i="2"/>
  <c r="N14" i="2"/>
  <c r="M14" i="2"/>
  <c r="K14" i="2"/>
  <c r="G14" i="2"/>
  <c r="N13" i="2"/>
  <c r="M13" i="2"/>
  <c r="K13" i="2"/>
  <c r="G13" i="2"/>
  <c r="N12" i="2"/>
  <c r="M12" i="2"/>
  <c r="K12" i="2"/>
  <c r="G12" i="2"/>
  <c r="N11" i="2"/>
  <c r="M11" i="2"/>
  <c r="K11" i="2"/>
  <c r="G11" i="2"/>
  <c r="G10" i="2"/>
  <c r="G9" i="2"/>
  <c r="N8" i="2"/>
  <c r="M8" i="2"/>
  <c r="K8" i="2"/>
  <c r="G8" i="2"/>
  <c r="N7" i="2"/>
  <c r="M7" i="2"/>
  <c r="K7" i="2"/>
  <c r="G7" i="2"/>
  <c r="N6" i="2"/>
  <c r="M6" i="2"/>
  <c r="K6" i="2"/>
  <c r="G6" i="2"/>
  <c r="O99" i="2"/>
  <c r="N5" i="2"/>
  <c r="M5" i="2"/>
  <c r="K5" i="2"/>
  <c r="O72" i="3" l="1"/>
  <c r="O154" i="2"/>
  <c r="O163" i="2"/>
  <c r="O75" i="3"/>
  <c r="K28" i="2"/>
  <c r="N28" i="2"/>
  <c r="N31" i="2"/>
  <c r="K31" i="2"/>
  <c r="N48" i="2"/>
  <c r="K48" i="2"/>
  <c r="O212" i="2"/>
  <c r="O214" i="2" s="1"/>
  <c r="O48" i="3"/>
  <c r="O155" i="2"/>
  <c r="N24" i="2"/>
  <c r="N99" i="2" s="1"/>
  <c r="N247" i="2" s="1"/>
  <c r="K24" i="2"/>
  <c r="K199" i="2"/>
  <c r="N199" i="2"/>
  <c r="O55" i="3"/>
  <c r="O166" i="2"/>
  <c r="O216" i="2"/>
  <c r="N151" i="2"/>
  <c r="K151" i="2"/>
  <c r="G99" i="2"/>
  <c r="N122" i="2"/>
  <c r="K122" i="2"/>
  <c r="K246" i="2" s="1"/>
  <c r="N191" i="2"/>
  <c r="K191" i="2"/>
  <c r="N67" i="3"/>
  <c r="K67" i="3"/>
  <c r="N69" i="3"/>
  <c r="K69" i="3"/>
  <c r="N32" i="2"/>
  <c r="K32" i="2"/>
  <c r="K41" i="2"/>
  <c r="N41" i="2"/>
  <c r="N154" i="2"/>
  <c r="N246" i="2" s="1"/>
  <c r="K154" i="2"/>
  <c r="N183" i="2"/>
  <c r="K183" i="2"/>
  <c r="N217" i="2"/>
  <c r="K217" i="2"/>
  <c r="K22" i="2"/>
  <c r="K26" i="2"/>
  <c r="G246" i="2"/>
  <c r="N167" i="2"/>
  <c r="K167" i="2"/>
  <c r="N179" i="2"/>
  <c r="K179" i="2"/>
  <c r="N23" i="3"/>
  <c r="K23" i="3"/>
  <c r="K27" i="3" s="1"/>
  <c r="K127" i="3" s="1"/>
  <c r="N25" i="3"/>
  <c r="K25" i="3"/>
  <c r="N32" i="3"/>
  <c r="K32" i="3"/>
  <c r="N34" i="3"/>
  <c r="K34" i="3"/>
  <c r="N92" i="3"/>
  <c r="K92" i="3"/>
  <c r="N94" i="3"/>
  <c r="K94" i="3"/>
  <c r="N42" i="2"/>
  <c r="N67" i="2"/>
  <c r="N68" i="2"/>
  <c r="N69" i="2"/>
  <c r="N70" i="2"/>
  <c r="N73" i="2"/>
  <c r="N74" i="2"/>
  <c r="N75" i="2"/>
  <c r="N76" i="2"/>
  <c r="N84" i="2"/>
  <c r="N85" i="2"/>
  <c r="N174" i="2"/>
  <c r="N214" i="2"/>
  <c r="K214" i="2"/>
  <c r="N232" i="2"/>
  <c r="K232" i="2"/>
  <c r="N27" i="3"/>
  <c r="N45" i="3"/>
  <c r="K45" i="3"/>
  <c r="N81" i="3"/>
  <c r="K81" i="3"/>
  <c r="N87" i="3"/>
  <c r="K87" i="3"/>
  <c r="N116" i="3"/>
  <c r="K116" i="3"/>
  <c r="G27" i="3"/>
  <c r="N24" i="3"/>
  <c r="K24" i="3"/>
  <c r="G126" i="3"/>
  <c r="N31" i="3"/>
  <c r="N126" i="3" s="1"/>
  <c r="K31" i="3"/>
  <c r="K126" i="3" s="1"/>
  <c r="N33" i="3"/>
  <c r="K33" i="3"/>
  <c r="N35" i="3"/>
  <c r="K35" i="3"/>
  <c r="N49" i="3"/>
  <c r="K49" i="3"/>
  <c r="N68" i="3"/>
  <c r="K68" i="3"/>
  <c r="N70" i="3"/>
  <c r="K70" i="3"/>
  <c r="N93" i="3"/>
  <c r="K93" i="3"/>
  <c r="M246" i="2"/>
  <c r="M247" i="2" s="1"/>
  <c r="N213" i="2"/>
  <c r="K213" i="2"/>
  <c r="N231" i="2"/>
  <c r="K231" i="2"/>
  <c r="M126" i="3"/>
  <c r="M127" i="3" s="1"/>
  <c r="N58" i="3"/>
  <c r="K58" i="3"/>
  <c r="N74" i="3"/>
  <c r="K74" i="3"/>
  <c r="N80" i="3"/>
  <c r="K80" i="3"/>
  <c r="N88" i="3"/>
  <c r="K88" i="3"/>
  <c r="N107" i="3"/>
  <c r="K107" i="3"/>
  <c r="G127" i="3" l="1"/>
  <c r="O86" i="3"/>
  <c r="O59" i="3"/>
  <c r="O122" i="2"/>
  <c r="O164" i="2"/>
  <c r="O58" i="3"/>
  <c r="O165" i="2"/>
  <c r="O89" i="3"/>
  <c r="G247" i="2"/>
  <c r="K99" i="2"/>
  <c r="K247" i="2" s="1"/>
  <c r="O91" i="3"/>
  <c r="O167" i="2"/>
  <c r="O107" i="3"/>
  <c r="O119" i="2"/>
  <c r="N127" i="3"/>
  <c r="O156" i="2"/>
  <c r="O45" i="3"/>
  <c r="O123" i="2"/>
  <c r="O47" i="3"/>
  <c r="O74" i="3"/>
  <c r="O90" i="3"/>
  <c r="O73" i="3" l="1"/>
  <c r="O76" i="3"/>
  <c r="O121" i="2"/>
  <c r="O60" i="3"/>
  <c r="O46" i="3"/>
  <c r="O88" i="3"/>
  <c r="O120" i="2"/>
  <c r="O246" i="2" s="1"/>
  <c r="O247" i="2" s="1"/>
  <c r="O49" i="3"/>
  <c r="O108" i="3"/>
  <c r="O57" i="3"/>
  <c r="O106" i="3"/>
  <c r="O104" i="3"/>
  <c r="O126" i="3" l="1"/>
  <c r="O127" i="3" s="1"/>
  <c r="O10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tc={7ED6D6A7-724C-4A14-93E4-5069D86DD4AF}</author>
    <author>tc={7A999C3D-459A-44FF-97FF-FA448E5C0331}</author>
    <author>tc={2939A534-BD37-4C79-B22F-5DCCC64570AA}</author>
    <author>tc={BE0E3032-3B83-48F1-A486-1C5F47D43167}</author>
    <author>tc={336ADDF9-E378-472D-89AC-7AD09311CC75}</author>
    <author>tc={B0034504-47B6-4702-ACD4-EEBB9C6C3DA6}</author>
    <author>tc={850E597E-339A-4345-9DD3-2FC246F812C0}</author>
    <author>tc={002D8148-59A3-4C99-B09F-556EBABB4701}</author>
    <author>tc={D72A2E38-08FD-44E3-9669-B930DE154472}</author>
    <author>tc={42B62CA0-AA22-4A92-9107-D6E87CE81D55}</author>
    <author>tc={9B231180-BE97-4449-9FE5-D3401948043F}</author>
    <author>tc={6941E0F9-E61B-4435-A9B0-117FB55961BF}</author>
    <author>tc={357F7269-565F-4DCF-91B4-25B8165F96F0}</author>
    <author>tc={5653F266-71CD-43D3-85E3-7A7ED13343AF}</author>
    <author>tc={00E84D65-EE81-4370-BD6F-3ED6266F1E7C}</author>
    <author>tc={1B907F84-323F-410F-8C59-9A2C2DA0E52C}</author>
    <author>tc={B12ACD24-1B26-47E5-B6F8-CB6607F554D1}</author>
    <author>tc={59A97268-CCE2-41DA-8CC8-FECEE7543C3C}</author>
    <author>tc={0A812500-4DDA-4C52-8F3D-3C134FE60369}</author>
    <author>tc={C15F1B75-7CDC-4FF9-8A14-2461BCDE482D}</author>
    <author>tc={E2BC1569-4021-4A0B-9021-DBDCE5064A5D}</author>
    <author>tc={1A7C030A-BA93-497E-AE74-CC1C5CD3808E}</author>
    <author>tc={08BAF5E7-95CF-4CB7-A21A-6BF0375EC845}</author>
    <author>tc={CA41D48D-4EB8-4A57-883C-68D71EF11EB9}</author>
    <author>tc={3380CCE7-1B49-4625-B1E6-9905761E53FF}</author>
    <author>tc={B29A4843-0E7C-41C0-85C4-AA2BE4150943}</author>
    <author>tc={0B9D4714-7211-4D82-A59E-041444F998E0}</author>
    <author>tc={8AA711BE-850A-45C1-9A94-D35FCDAC9AE8}</author>
    <author>tc={F0D8BFD3-98F0-432E-8D6F-D729285B40E7}</author>
    <author>tc={C2B4A4D2-B70D-40F7-961A-8610F2B089D2}</author>
    <author>tc={DA8EEF82-59FA-4102-BFAB-C0D7275B3EDB}</author>
    <author>tc={6257C749-AE2F-4324-8230-87E135BB69EF}</author>
    <author>tc={75E0792F-DCF8-4338-B549-ADD963989548}</author>
    <author>tc={1ADDB6B3-0278-45B2-B352-4A4C761EC78C}</author>
    <author>tc={4A881B61-3AE8-4B34-9973-1FDB4F8DAB6F}</author>
    <author>tc={77EA7F88-D4FD-49AF-B5DF-1BCE04CE6FD3}</author>
    <author>tc={067BA9E4-DA24-4561-9B15-135369F25C4D}</author>
    <author>tc={72A791DE-C458-4FEA-947A-0F8559984B31}</author>
    <author>tc={E5FE4688-92CA-4ABC-B9C6-D64053A3EA00}</author>
    <author>tc={C4E60CA3-5702-4C70-9471-21C97FDE6274}</author>
    <author>tc={5648D8FD-33E0-4EB5-9DBA-ECEA413E5BE6}</author>
    <author>tc={781CCCF5-120F-4C58-AA9F-8E2CB7FDCEC3}</author>
    <author>tc={8F5DE07C-33C9-43A9-8F4F-49C1E0D8905B}</author>
  </authors>
  <commentList>
    <comment ref="I5" authorId="0" shapeId="0" xr:uid="{7ED6D6A7-724C-4A14-93E4-5069D86DD4A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Ad Valorem Tax
Based upon Trim Notice (DR-420).  18,806,653 Taxable value multiplied by 6.00 (Millage Rate) divided by 10000 = 112,840 multiplied by 95% = 107,198</t>
      </text>
    </comment>
    <comment ref="O5" authorId="1" shapeId="0" xr:uid="{7A999C3D-459A-44FF-97FF-FA448E5C0331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Ad Valorem Tax
Based upon Trim Notice (DR-420).  18,806,653 Taxable value multiplied by 6.00 (Millage Rate) divided by 10000 = 112,840 multiplied by 95% = 107,198</t>
      </text>
    </comment>
    <comment ref="I11" authorId="2" shapeId="0" xr:uid="{2939A534-BD37-4C79-B22F-5DCCC64570AA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Fax, Copy &amp; Notary 
Based upon 3 year Average FYE 2017 through 2019</t>
      </text>
    </comment>
    <comment ref="O11" authorId="3" shapeId="0" xr:uid="{BE0E3032-3B83-48F1-A486-1C5F47D43167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Fax, Copy &amp; Notary 
Based upon 3 year Average FYE 2017 through 2019</t>
      </text>
    </comment>
    <comment ref="I12" authorId="4" shapeId="0" xr:uid="{336ADDF9-E378-472D-89AC-7AD09311CC75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Equipment Rental 
Based upon 4 Year Average FYE 2016 to Current</t>
      </text>
    </comment>
    <comment ref="O12" authorId="5" shapeId="0" xr:uid="{B0034504-47B6-4702-ACD4-EEBB9C6C3DA6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Equipment Rental 
Based upon 4 Year Average FYE 2016 to Current</t>
      </text>
    </comment>
    <comment ref="I13" authorId="6" shapeId="0" xr:uid="{850E597E-339A-4345-9DD3-2FC246F812C0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Community Ctr Amphitheater Rental
Based upon 4 year Average - FYE 2016 to Current</t>
      </text>
    </comment>
    <comment ref="O13" authorId="7" shapeId="0" xr:uid="{002D8148-59A3-4C99-B09F-556EBABB4701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Community Ctr Amphitheater Rental
Based upon 4 year Average - FYE 2016 to Current</t>
      </text>
    </comment>
    <comment ref="I14" authorId="8" shapeId="0" xr:uid="{D72A2E38-08FD-44E3-9669-B930DE154472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Cell Tower Rental Fee
Based upon Contract</t>
      </text>
    </comment>
    <comment ref="O14" authorId="9" shapeId="0" xr:uid="{42B62CA0-AA22-4A92-9107-D6E87CE81D55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Cell Tower Rental Fee
Based upon Contract</t>
      </text>
    </comment>
    <comment ref="I17" authorId="10" shapeId="0" xr:uid="{9B231180-BE97-4449-9FE5-D3401948043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Franchise Fees - Electric
Based upon 3 year average - FYE 2016 - 2019</t>
      </text>
    </comment>
    <comment ref="O17" authorId="11" shapeId="0" xr:uid="{6941E0F9-E61B-4435-A9B0-117FB55961B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Franchise Fees - Electric
Based upon 3 year average - FYE 2016 - 2019</t>
      </text>
    </comment>
    <comment ref="I21" authorId="12" shapeId="0" xr:uid="{357F7269-565F-4DCF-91B4-25B8165F96F0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USDA Public Safety Vehicle
Base upon unused Grant at time of budget .  Note Corresponding Grant Expense included in Budget</t>
      </text>
    </comment>
    <comment ref="O21" authorId="13" shapeId="0" xr:uid="{5653F266-71CD-43D3-85E3-7A7ED13343A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USDA Public Safety Vehicle
Base upon unused Grant at time of budget .  Note Corresponding Grant Expense included in Budget</t>
      </text>
    </comment>
    <comment ref="I23" authorId="14" shapeId="0" xr:uid="{00E84D65-EE81-4370-BD6F-3ED6266F1E7C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FDOT SCOP - Mill Street
Base upon unused Grant at time of budget .  Note Corresponding Grant Expense included in Budget</t>
      </text>
    </comment>
    <comment ref="O23" authorId="15" shapeId="0" xr:uid="{1B907F84-323F-410F-8C59-9A2C2DA0E52C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FDOT SCOP - Mill Street
Base upon unused Grant at time of budget .  Note Corresponding Grant Expense included in Budget</t>
      </text>
    </comment>
    <comment ref="I24" authorId="16" shapeId="0" xr:uid="{B12ACD24-1B26-47E5-B6F8-CB6607F554D1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FRDAP Ballfield
Base upon unused Grant at time of budget .  Note Corresponding Grant Expense included in Budget</t>
      </text>
    </comment>
    <comment ref="O24" authorId="17" shapeId="0" xr:uid="{59A97268-CCE2-41DA-8CC8-FECEE7543C3C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FRDAP Ballfield
Base upon unused Grant at time of budget .  Note Corresponding Grant Expense included in Budget</t>
      </text>
    </comment>
    <comment ref="I25" authorId="18" shapeId="0" xr:uid="{0A812500-4DDA-4C52-8F3D-3C134FE60369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CDBG Community Center
Base upon unused Grant at time of budget .  Note Corresponding Grant Expense included in Budget</t>
      </text>
    </comment>
    <comment ref="O25" authorId="19" shapeId="0" xr:uid="{C15F1B75-7CDC-4FF9-8A14-2461BCDE482D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CDBG Community Center
Base upon unused Grant at time of budget .  Note Corresponding Grant Expense included in Budget</t>
      </text>
    </comment>
    <comment ref="I26" authorId="20" shapeId="0" xr:uid="{E2BC1569-4021-4A0B-9021-DBDCE5064A5D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State Fire Marshall - Fire Grant
Base upon unused Grant at time of budget .  Note Corresponding Grant Expense included in Budget</t>
      </text>
    </comment>
    <comment ref="O26" authorId="21" shapeId="0" xr:uid="{1A7C030A-BA93-497E-AE74-CC1C5CD3808E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State Fire Marshall - Fire Grant
Base upon unused Grant at time of budget .  Note Corresponding Grant Expense included in Budget</t>
      </text>
    </comment>
    <comment ref="I27" authorId="22" shapeId="0" xr:uid="{08BAF5E7-95CF-4CB7-A21A-6BF0375EC845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FMIT Safety Grant
Base upon unused Grant at time of budget .  Note Corresponding Grant Expense included in Budget</t>
      </text>
    </comment>
    <comment ref="O27" authorId="23" shapeId="0" xr:uid="{CA41D48D-4EB8-4A57-883C-68D71EF11EB9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Grant - FMIT Safety Grant
Base upon unused Grant at time of budget .  Note Corresponding Grant Expense included in Budget</t>
      </text>
    </comment>
    <comment ref="N49" authorId="24" shapeId="0" xr:uid="{3380CCE7-1B49-4625-B1E6-9905761E53FF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Projected Actuals - Misc Revenue
Refund on Workers Comp Premiums for 2018-19 Fiscal Year - $3274.00</t>
      </text>
    </comment>
    <comment ref="G64" authorId="25" shapeId="0" xr:uid="{B29A4843-0E7C-41C0-85C4-AA2BE4150943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FL DOT Highway Lightin Sys
Based upon 2019-20 income.  Not Expecting increase for 2020-21</t>
      </text>
    </comment>
    <comment ref="I64" authorId="26" shapeId="0" xr:uid="{0B9D4714-7211-4D82-A59E-041444F998E0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FL DOT Highway Lightin Sys
Based upon 2019-20 income.  Not Expecting increase for 2020-21</t>
      </text>
    </comment>
    <comment ref="O64" authorId="27" shapeId="0" xr:uid="{8AA711BE-850A-45C1-9A94-D35FCDAC9AE8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FL DOT Highway Lightin Sys
Based upon 2019-20 income.  Not Expecting increase for 2020-21</t>
      </text>
    </comment>
    <comment ref="O67" authorId="28" shapeId="0" xr:uid="{F0D8BFD3-98F0-432E-8D6F-D729285B40E7}">
      <text>
        <t>[Threaded comment]
Your version of Excel allows you to read this threaded comment; however, any edits to it will get removed if the file is opened in a newer version of Excel. Learn more: https://go.microsoft.com/fwlink/?linkid=870924
Comment:
    (1) Revenue from State of Florida
Based upon Local Municipality Estimated Reports on 08/22/2022</t>
      </text>
    </comment>
    <comment ref="I68" authorId="29" shapeId="0" xr:uid="{C2B4A4D2-B70D-40F7-961A-8610F2B089D2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Communication Service Tax 
Based upon Florida Office of Tax Research Estimate for 2020-21 Report</t>
      </text>
    </comment>
    <comment ref="N69" authorId="30" shapeId="0" xr:uid="{DA8EEF82-59FA-4102-BFAB-C0D7275B3ED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Projected Actual - State Revenue Sharing - Reduction in amount starting May 2020 per notice from State (COVID-19)</t>
      </text>
    </comment>
    <comment ref="I83" authorId="31" shapeId="0" xr:uid="{6257C749-AE2F-4324-8230-87E135BB69E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Utility Service Tax - Electric
Base upon monthly average of 4500.00 per month - Duke Energy</t>
      </text>
    </comment>
    <comment ref="I85" authorId="32" shapeId="0" xr:uid="{75E0792F-DCF8-4338-B549-ADD963989548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Utility Tax - Water
This has been reported on the Enteprise side of the budget but actually belong to the Governmental side.  No documentation has been produced stating otherwise.</t>
      </text>
    </comment>
    <comment ref="O168" authorId="33" shapeId="0" xr:uid="{1ADDB6B3-0278-45B2-B352-4A4C761EC78C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Professional Fees
Based upon the following:
City Manager - 57200.00
Legal Support - 33660.00
IT Support - 11160.00</t>
      </text>
    </comment>
    <comment ref="O171" authorId="34" shapeId="0" xr:uid="{4A881B61-3AE8-4B34-9973-1FDB4F8DAB6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Audit &amp; Accounting - General  (50%)
Sexton &amp; Schnoll CPA (Audit) - 16000.00
J &amp; S Accounting and Tax - 21450.00</t>
      </text>
    </comment>
    <comment ref="O174" authorId="35" shapeId="0" xr:uid="{77EA7F88-D4FD-49AF-B5DF-1BCE04CE6FD3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General - Communictation Services 
Base upon the following:
Great American Financing - 720.00
Windstreem - 2400.00</t>
      </text>
    </comment>
    <comment ref="O177" authorId="36" shapeId="0" xr:uid="{067BA9E4-DA24-4561-9B15-135369F25C4D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General - Rental &amp; Lease
Based upon the following:
Xerox Financial Services - 2226.00
Pitney Bowes Global - 2340.00</t>
      </text>
    </comment>
    <comment ref="O201" authorId="37" shapeId="0" xr:uid="{72A791DE-C458-4FEA-947A-0F8559984B31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Travel &amp; Training - Police
Based upon 4 year average of ($3514.16) plus request from Mayor for additional $3000.00</t>
      </text>
    </comment>
    <comment ref="O202" authorId="38" shapeId="0" xr:uid="{E5FE4688-92CA-4ABC-B9C6-D64053A3EA00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Police - Communication Services
Based upon the Following:
2 AT&amp;T Mobile BIlls - 3720.00
Windstream Bill - 2400.00
Xerox Financial Services - 660.00</t>
      </text>
    </comment>
    <comment ref="O217" authorId="39" shapeId="0" xr:uid="{C4E60CA3-5702-4C70-9471-21C97FDE6274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Fire - Professional Services
Based Upon the Following:
Security Safe Communication  included and increase in Contract by $1000.00 Annually</t>
      </text>
    </comment>
    <comment ref="O218" authorId="40" shapeId="0" xr:uid="{5648D8FD-33E0-4EB5-9DBA-ECEA413E5BE6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Fire - Communitcation Services
Based upon the follwing:
Windstream - 2400.00
Xerox Financial Services - 660.00</t>
      </text>
    </comment>
    <comment ref="O222" authorId="41" shapeId="0" xr:uid="{781CCCF5-120F-4C58-AA9F-8E2CB7FDCEC3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Fire - Operating Supplies 
Included Non Accountable Expense Reimbursmenet for Volunties of 6600.00 plus 6000.00 in operating Supplies.</t>
      </text>
    </comment>
    <comment ref="O227" authorId="42" shapeId="0" xr:uid="{8F5DE07C-33C9-43A9-8F4F-49C1E0D8905B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- Debt Services - Leasing 2 Inc
Purchase of 2005 E-One International 440 Commercial Pumper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tc={2DB0848C-099C-4832-8EF9-7D73377BF789}</author>
    <author>tc={395A9CF9-3C4D-46A4-9B63-67E6C35E67F4}</author>
  </authors>
  <commentList>
    <comment ref="O8" authorId="0" shapeId="0" xr:uid="{2DB0848C-099C-4832-8EF9-7D73377BF789}">
      <text>
        <t>[Threaded comment]
Your version of Excel allows you to read this threaded comment; however, any edits to it will get removed if the file is opened in a newer version of Excel. Learn more: https://go.microsoft.com/fwlink/?linkid=870924
Comment:
    Sewer Revenue
Monthly average for 9 month * 12 *1.20</t>
      </text>
    </comment>
    <comment ref="O45" authorId="1" shapeId="0" xr:uid="{395A9CF9-3C4D-46A4-9B63-67E6C35E67F4}">
      <text>
        <t>[Threaded comment]
Your version of Excel allows you to read this threaded comment; however, any edits to it will get removed if the file is opened in a newer version of Excel. Learn more: https://go.microsoft.com/fwlink/?linkid=870924
Comment:
    Wages and ERE
Per Payroll Allocation Work Sheet for 2022-23</t>
      </text>
    </comment>
  </commentList>
</comments>
</file>

<file path=xl/sharedStrings.xml><?xml version="1.0" encoding="utf-8"?>
<sst xmlns="http://schemas.openxmlformats.org/spreadsheetml/2006/main" count="361" uniqueCount="335">
  <si>
    <t>2022-23</t>
  </si>
  <si>
    <t>Projected</t>
  </si>
  <si>
    <t>Budget</t>
  </si>
  <si>
    <t>Projected Actual</t>
  </si>
  <si>
    <t>Oct 22 - Jun  23</t>
  </si>
  <si>
    <t>$ Over Budget</t>
  </si>
  <si>
    <t>2023-24</t>
  </si>
  <si>
    <t>Income</t>
  </si>
  <si>
    <t>AD VALORREM</t>
  </si>
  <si>
    <t>311.000 · AD VALOREM TAXES (6.0000)</t>
  </si>
  <si>
    <t>CDBG FIRE STATION GRANT</t>
  </si>
  <si>
    <t>331.207 · CDBG- Fire Station</t>
  </si>
  <si>
    <t>CHARGE FOR SERVICES</t>
  </si>
  <si>
    <t>341.200 · SERVICE FEES- FAX, COPY, NOTARY</t>
  </si>
  <si>
    <t>362.000 · EQUIPMENT RENTAL</t>
  </si>
  <si>
    <t>362.001 · COMMUNITY CTR/AMPHITHEATER RENT</t>
  </si>
  <si>
    <t>362.003 · CELL TOWER RENTAL FEE</t>
  </si>
  <si>
    <t>FRANCHISE FEES</t>
  </si>
  <si>
    <t>323.100 · ELECTRICITY FRANCHISE FEE</t>
  </si>
  <si>
    <t>Sanitation Franchise Fee</t>
  </si>
  <si>
    <t>GRANTS / CONTRIBUTIONS</t>
  </si>
  <si>
    <t>331.280 · USDA  PUBLIC SAFETY VEHICLE GRA</t>
  </si>
  <si>
    <t>334.490 · FDOT SCOP- KENDRICK St  440000-</t>
  </si>
  <si>
    <t>334.491 · FDOT SCOP- MILL STREET</t>
  </si>
  <si>
    <t>334.702 · FRDAP- BALLFIELD</t>
  </si>
  <si>
    <t>334.780 · CDBG COMMUNITY CENTER</t>
  </si>
  <si>
    <t>334.810 · STATE FIRE MARSHALL-FIRE GRANT</t>
  </si>
  <si>
    <t>337.900 · FMIT Safety Grant</t>
  </si>
  <si>
    <t>366.000 · CONRIBUTIONS</t>
  </si>
  <si>
    <t>INTERFUND TRANSFER</t>
  </si>
  <si>
    <t>381.000 · FUNDS TRANSFER IN</t>
  </si>
  <si>
    <t>382.000 · Contribution from Water/Sewer</t>
  </si>
  <si>
    <t>LICENSE/PERMITS</t>
  </si>
  <si>
    <t>316.000 · LOCAL BUSINESS TAX -Occupation</t>
  </si>
  <si>
    <t>322.001 · SPECIAL EXCEPTION</t>
  </si>
  <si>
    <t>329.001 · ELECTIONS FEES</t>
  </si>
  <si>
    <t>335.140 · MOBILE HOME LICENSE</t>
  </si>
  <si>
    <t>335.150 · BEVERAGE LICENSE</t>
  </si>
  <si>
    <t>342.000 - GAMINING PREMITS</t>
  </si>
  <si>
    <t>341.000 · LDR COMPLIANCE/SIGN PERMITS</t>
  </si>
  <si>
    <t>342.100 · GOLF CART PERMITS</t>
  </si>
  <si>
    <t>MISC REVENUE</t>
  </si>
  <si>
    <t>361.100 · INTEREST</t>
  </si>
  <si>
    <t>364.000 · SURPLUS ITEMS</t>
  </si>
  <si>
    <t>369.100 - GAMING APPLICATION FEES</t>
  </si>
  <si>
    <t>369.300 · REIMBURSEMENT/REBATE</t>
  </si>
  <si>
    <t>369.900 · MISC. REVENUE</t>
  </si>
  <si>
    <t>PUBLIC SAFETY</t>
  </si>
  <si>
    <t>FIRE DEPARTMENT INCOME</t>
  </si>
  <si>
    <t>386.100 · FIRE DEPARTMENT CONTRACT</t>
  </si>
  <si>
    <t>POLICE DEPT INCOME</t>
  </si>
  <si>
    <t>342.045 · POLICE INSURANCE CLAIM</t>
  </si>
  <si>
    <t>342.101 · PARKING TICKETS</t>
  </si>
  <si>
    <t>342.110 · POLICE REPORT COPIES</t>
  </si>
  <si>
    <t>351.000 · FINES/FORFEITURES</t>
  </si>
  <si>
    <t>351.510 · LAW EDUCATION</t>
  </si>
  <si>
    <t>RESTRICTED INCOME</t>
  </si>
  <si>
    <t>312.100 · LOCAL OPTION FUEL TAX</t>
  </si>
  <si>
    <t>(1)</t>
  </si>
  <si>
    <t>335.490 · DOT STATE HIGHWAY LIGHTING SYS</t>
  </si>
  <si>
    <t>SALES &amp; USE TAXES</t>
  </si>
  <si>
    <t>312.600 · DISCRETIONARY SALES TAX/MONTHLY</t>
  </si>
  <si>
    <t>315.000 · COMMUNICATION SERVICE TAX</t>
  </si>
  <si>
    <t>335.120 · STATE REVENUE SHARING</t>
  </si>
  <si>
    <t>335.180 · HALF CENT SALES TAX</t>
  </si>
  <si>
    <t>SPECIAL RESERVES</t>
  </si>
  <si>
    <t>RECREATION CONTRIBUTIONS ACCT</t>
  </si>
  <si>
    <t>341.201 · RECREATION UTILITY FEE</t>
  </si>
  <si>
    <t>347.201 · Recreation Income</t>
  </si>
  <si>
    <t>342.203 · Fire Dept Fundraising Events</t>
  </si>
  <si>
    <t>347.400 · Special Events Income</t>
  </si>
  <si>
    <t>347.401 · Festival of Lights Income</t>
  </si>
  <si>
    <t>347.402 · Azalea Festival Income</t>
  </si>
  <si>
    <t>347.406 · TDC  Grant</t>
  </si>
  <si>
    <t>TAXES</t>
  </si>
  <si>
    <t>314.100 · ELECTRIC UTILITY SERVICE TAX</t>
  </si>
  <si>
    <t>314.800 · PROPANE UTILITY TAX</t>
  </si>
  <si>
    <t>314.300 · WATER TAX</t>
  </si>
  <si>
    <t>TRANSPORTATION</t>
  </si>
  <si>
    <t>335.491 · D.O.T. GREENSCAPE</t>
  </si>
  <si>
    <t>284.001 · FUND-UNASSIGNED</t>
  </si>
  <si>
    <t>314.500 · Utility Tax - Telephone</t>
  </si>
  <si>
    <t>334.820 · Eckstein Chartiable Trust Grant</t>
  </si>
  <si>
    <t>335.045 · STREETS - INSURANCE CLAIMS</t>
  </si>
  <si>
    <t>386.045 · FIRE DEPT - INSURANCE CLAIM</t>
  </si>
  <si>
    <t>381 · CAPITAL IMPROVEMENT INCOME ACCT</t>
  </si>
  <si>
    <t>381.361 · Interest</t>
  </si>
  <si>
    <t>Total Income</t>
  </si>
  <si>
    <t>Expense</t>
  </si>
  <si>
    <t>GRANTS / CONTR EXPENSE</t>
  </si>
  <si>
    <t>5228152 · ST Fire Marshall Grant Expense</t>
  </si>
  <si>
    <t>5228352 · FMIT Safety Grant Expense</t>
  </si>
  <si>
    <t>5418080 · FDOT SCOP EXPENSE</t>
  </si>
  <si>
    <t>5418082 · FDOT SCOP EXP- MILL STREET</t>
  </si>
  <si>
    <t>5752308 · CDBG COMMUNITY CENTER EXPENSE</t>
  </si>
  <si>
    <t>5758032 - ARPA GRANT EXPENSE</t>
  </si>
  <si>
    <t>5758081 · FRDAP - BALLFIELD EXPENSE</t>
  </si>
  <si>
    <t>5798083 · CONTRIBUTIONS EXPENSE</t>
  </si>
  <si>
    <t>PUBLIC SAFETY GRANT EXPENSE</t>
  </si>
  <si>
    <t>CDBG GRANT</t>
  </si>
  <si>
    <t>522.800 · CDBG -  Administraion</t>
  </si>
  <si>
    <t>522.801 · CDBG - Engineering</t>
  </si>
  <si>
    <t>5228064 · USDA- FIRE ENGINE</t>
  </si>
  <si>
    <t>RESTRICTED EXPENSES -ROADS</t>
  </si>
  <si>
    <t>5411012 · RDS/STREETS SALARY</t>
  </si>
  <si>
    <t>5411021 · RD/STREETS FICA</t>
  </si>
  <si>
    <t>5411022 · RETIREMENT CONTRIBUTION</t>
  </si>
  <si>
    <t>5411023 · LIFE/HEALTH INSURANCE</t>
  </si>
  <si>
    <t>5411024 - Workers Comp Insurance</t>
  </si>
  <si>
    <t>5413040 · TRAVEL &amp; TRAINING</t>
  </si>
  <si>
    <t>5413041 · COMMUNICATION SERVICES</t>
  </si>
  <si>
    <t>5413043 · UTILITY SERVICES</t>
  </si>
  <si>
    <t>5413044 · RENTAL &amp; LEASES</t>
  </si>
  <si>
    <t>5413045 · INSURANCE- RD/ST</t>
  </si>
  <si>
    <t>5413046 · REPAIRS &amp; MAINTENANCE -R/S</t>
  </si>
  <si>
    <t>5413052 · OPERATING SUPPLIES -R/S</t>
  </si>
  <si>
    <t>5413053 · ROAD MATERIALS &amp; SUPPLIES</t>
  </si>
  <si>
    <t>5413064 · MACHINERY &amp; EQUIPMENT</t>
  </si>
  <si>
    <t>SPECIAL RESERVES EXPENSE</t>
  </si>
  <si>
    <t>SPECIAL EVENT EXPENSES ACCT</t>
  </si>
  <si>
    <t>574.300 · Special Events Expense</t>
  </si>
  <si>
    <t>574.301 · Festival of Lights Expense</t>
  </si>
  <si>
    <t>574.302 · Azalea Festival Expense</t>
  </si>
  <si>
    <t>574.304 · MLK Dedication Expense</t>
  </si>
  <si>
    <t>574.305 · May Day Expense</t>
  </si>
  <si>
    <t>574.306  Fall Fest / Truck &amp; Treat</t>
  </si>
  <si>
    <t>574.307 - Unity Day</t>
  </si>
  <si>
    <t>574.308 - Veterian's Day</t>
  </si>
  <si>
    <t>5748070 · TDC Grant Expense</t>
  </si>
  <si>
    <t>5723043 · UTILITIY SERVICE - RECREATION</t>
  </si>
  <si>
    <t>5723046 · REPAIRS &amp; /MAINTENANCE</t>
  </si>
  <si>
    <t>5723052 · OPERATIING SUPPLIES</t>
  </si>
  <si>
    <t>5723054 · Recreation-Outdoor Movie Equip</t>
  </si>
  <si>
    <t>5101 · GEN GOVT EXPENSE</t>
  </si>
  <si>
    <t>512.349 · CONTINGENCY - Unused Reserved Funds</t>
  </si>
  <si>
    <t>511 · LEGISLATIVE EXPENSE</t>
  </si>
  <si>
    <t>5111011 · COUNCIL SALARIES</t>
  </si>
  <si>
    <t>5111021 · FICA (ELECTED OFFICIAL)</t>
  </si>
  <si>
    <t>5111024 - Worker Comp Insurance</t>
  </si>
  <si>
    <t>5113040 · COUNCIL TRAVEL &amp; TRAINING</t>
  </si>
  <si>
    <t>5113046 - Insurance</t>
  </si>
  <si>
    <t>5113047 · ELECTION EXPENSE</t>
  </si>
  <si>
    <t>51100 · Freight and Shipping Costs</t>
  </si>
  <si>
    <t>512 · GENERAL GOVERNMENT EXPENSE</t>
  </si>
  <si>
    <t>5121012 · REGULAR SALARIES &amp; WAGES</t>
  </si>
  <si>
    <t>5121021 · FICA (STAFF)</t>
  </si>
  <si>
    <t>5121022 · RETIREMENT</t>
  </si>
  <si>
    <t>5121023 · LIFE/HEALTH</t>
  </si>
  <si>
    <t>5121024 - Workers Comp Insurance</t>
  </si>
  <si>
    <t>5123031 · PROFESSIONAL SERVICE</t>
  </si>
  <si>
    <t>Legal</t>
  </si>
  <si>
    <t>Accounting</t>
  </si>
  <si>
    <t>5123032 · AUDIT</t>
  </si>
  <si>
    <t>5123034 · BANK CHARGE</t>
  </si>
  <si>
    <t>5123040 · TRAVEL &amp; TRAINING</t>
  </si>
  <si>
    <t>5123041 · COMMUNICATIONS SERVICES</t>
  </si>
  <si>
    <t>5123042 · FREIGHT &amp; POSTAGE SERVICE</t>
  </si>
  <si>
    <t>5123043 · UTILITY SERVICE</t>
  </si>
  <si>
    <t>5123044 · RENTAL &amp; LEASES</t>
  </si>
  <si>
    <t>5123045 · INSURANCE</t>
  </si>
  <si>
    <t>5123046 · REPAIR &amp; MAINTENANCE</t>
  </si>
  <si>
    <t>5123047 · ADVERTISING &amp; PRINTING</t>
  </si>
  <si>
    <t>5123051 · OFFICE SUPPLIES</t>
  </si>
  <si>
    <t>5123052 · OPERATING SUPPLIES</t>
  </si>
  <si>
    <t>5123054 · SUBSCRIPTIONS &amp; MEMBERSHIPS</t>
  </si>
  <si>
    <t>5133049 · SALES &amp; USE TAX PAYABLE</t>
  </si>
  <si>
    <t>5123064 · Machinery &amp; Equipment</t>
  </si>
  <si>
    <t>515 · PLANNING</t>
  </si>
  <si>
    <t>5153031 · PROFESSIONAL SERVICE</t>
  </si>
  <si>
    <t>520 · FIRE STATION GRANT EXPENSE</t>
  </si>
  <si>
    <t>520.803 · CDBG - Fire Station Expense</t>
  </si>
  <si>
    <t>521 · POLICE DEPT EXPENSE</t>
  </si>
  <si>
    <t>5211012 · POLICE SALARIES</t>
  </si>
  <si>
    <t>5211014 · OVERTIME - POLICE</t>
  </si>
  <si>
    <t>5211015 · INCENTIVE PAY</t>
  </si>
  <si>
    <t>5211021 · FICA</t>
  </si>
  <si>
    <t>5211022 - RETIREMENT</t>
  </si>
  <si>
    <t>5211023 · HEALTH/LIFE INSURANCE</t>
  </si>
  <si>
    <t>5213031 · PROFESSIONAL SERVICE</t>
  </si>
  <si>
    <t>5213040 · TRAVEL &amp; TRAINING</t>
  </si>
  <si>
    <t>5213041 · COMMUNICATIONS SERVICE</t>
  </si>
  <si>
    <t>5213043 · UTILITY SERVICE- POLICE</t>
  </si>
  <si>
    <t>5213045 · INSURANCE</t>
  </si>
  <si>
    <t>5213046 · REPAIRS &amp; MAINTENANCE SERVICES</t>
  </si>
  <si>
    <t>5213052 · OPERATING SUPPLIES</t>
  </si>
  <si>
    <t>5213054 · MEMBERSHIPS &amp; /SUBSCRIPTIONS</t>
  </si>
  <si>
    <t>5401.5 · POLICE PART TIME SALARY</t>
  </si>
  <si>
    <t>5410.1 · HOLIDAY PAY</t>
  </si>
  <si>
    <t>522 · FIRE DEPT EXPENSE</t>
  </si>
  <si>
    <t>5221012 · FIRE SALARIES</t>
  </si>
  <si>
    <t>5221013 · FIRE FEE SALARIES</t>
  </si>
  <si>
    <t>5221021 · FICA -FIRE</t>
  </si>
  <si>
    <t>5221023 - LIFE/HEALTH INSURANCE</t>
  </si>
  <si>
    <t>5221024 - Workers Comp Insurance</t>
  </si>
  <si>
    <t>5223031 · PROFESSIONAL SERV- ALARM</t>
  </si>
  <si>
    <t>5223041 · COMMUNICATION SERVICES</t>
  </si>
  <si>
    <t>5223043 · UTILITY SERVICES- FIRE</t>
  </si>
  <si>
    <t>5223045 · INSURANCE - FIRE</t>
  </si>
  <si>
    <t>5223046 · REPAIRS / MAINTENANCE - FIRE</t>
  </si>
  <si>
    <t>5223052 · OPERATING SUPPLIES-FIRE</t>
  </si>
  <si>
    <t>586 · CAPITAL OUTLAY - FIRE</t>
  </si>
  <si>
    <t>5863046 · Capital Outlay Repairs/Maint</t>
  </si>
  <si>
    <t>5863064 · Capital Outlay Loan Payment</t>
  </si>
  <si>
    <t>Debt Servives - Principal - Leasing 2 Inc</t>
  </si>
  <si>
    <t>Debt Servives - Interest - Leasing 2 Inc</t>
  </si>
  <si>
    <t>524 · CODE ENFORCEMENT EXPENSE</t>
  </si>
  <si>
    <t>5241012 · SALARIES - CODE ENFORCEMENT</t>
  </si>
  <si>
    <t>5241021 · FICA - CODE ENFORCEMENT</t>
  </si>
  <si>
    <t>5241024 - Workers Comp Insurance</t>
  </si>
  <si>
    <t>5243031 · PROFESSIONAL SERVICES (Magistrate)</t>
  </si>
  <si>
    <t>5243040 · TRAVEL &amp; TRAINING</t>
  </si>
  <si>
    <t>5243041 · COMMUNICATION SERVICES</t>
  </si>
  <si>
    <t>5243052 · OPERATING SUPPLIES</t>
  </si>
  <si>
    <t>529 · ANIMAL CONTROL EXPENSE</t>
  </si>
  <si>
    <t>5293052 · OPERATION SUPPLIES</t>
  </si>
  <si>
    <t>581.001 · FUNDS TRANSFER OUT</t>
  </si>
  <si>
    <t>6560 · Payroll Expenses</t>
  </si>
  <si>
    <t>VOID · VOID</t>
  </si>
  <si>
    <t>Net Income</t>
  </si>
  <si>
    <t>Oct '22 - Jun 23</t>
  </si>
  <si>
    <t>SANITATION INCOME</t>
  </si>
  <si>
    <t>343.400 · SOLID WASTE REV UTILITIES</t>
  </si>
  <si>
    <t>SEWER REVENUE</t>
  </si>
  <si>
    <t>314.900 · SEWER TAX</t>
  </si>
  <si>
    <t>343.500 · SEWER SALES REVENUE</t>
  </si>
  <si>
    <t>343.501 · SEWER TAP FEES REVENUE</t>
  </si>
  <si>
    <t>WATER REVENUE</t>
  </si>
  <si>
    <t>343.300 · WATER SALES INCOME</t>
  </si>
  <si>
    <t>343.301 · SPECIAL WATER SALES</t>
  </si>
  <si>
    <t>343.302 · WATER TAP FEES REVENUE</t>
  </si>
  <si>
    <t>GRANT / LOAN INCOME</t>
  </si>
  <si>
    <t>334.350 · ST GRANT - SRF CORRECTION PROJ</t>
  </si>
  <si>
    <t>389.310 · FDEP Grant Income</t>
  </si>
  <si>
    <t>W/W LOAN REPAYMENT ACCOUNT</t>
  </si>
  <si>
    <t>335.361 · Interest</t>
  </si>
  <si>
    <t>343.600 · MISC/REIMBURSEMENT REVENUE</t>
  </si>
  <si>
    <t>346.900 · SERVICE CHARGE</t>
  </si>
  <si>
    <t>346.901 · RETURNED CHECK</t>
  </si>
  <si>
    <t>361.100 · EARNED INTEREST</t>
  </si>
  <si>
    <t>384.500 · COUNTY FUNDS 2001 A&amp;B BONDS</t>
  </si>
  <si>
    <t>389.900 · BEGINNING CASH</t>
  </si>
  <si>
    <t>ADMINISTRATION CHARGES</t>
  </si>
  <si>
    <t>5121012 · REGULAR SALARIES</t>
  </si>
  <si>
    <t>5121021 · FICA</t>
  </si>
  <si>
    <t>5361022 · Retirement Contributions</t>
  </si>
  <si>
    <t>5121023 · HEALTH/LIFE</t>
  </si>
  <si>
    <t>5363049 · Bank Service Charge</t>
  </si>
  <si>
    <t>GRANT / LOAN EXPENSE</t>
  </si>
  <si>
    <t>535.001 · SRF LOAN-ENGINEER STUDY</t>
  </si>
  <si>
    <t>535.002 · SRF Loan Field Studies</t>
  </si>
  <si>
    <t>517.000 · W/W LOAN RESERVE EXPENSE</t>
  </si>
  <si>
    <t>517.700 · DEBT SERVICE- 2001 BOND A&amp;B</t>
  </si>
  <si>
    <t>517.705 · SRF Loan Payment-229040 (rehab)</t>
  </si>
  <si>
    <t>SRF Loan Payment - WW229041 / SG229042</t>
  </si>
  <si>
    <t>SRF Loan Payment - CS12022902P</t>
  </si>
  <si>
    <t>SANITATION  EXPENSE</t>
  </si>
  <si>
    <t>5341012 · REGULAR SALARIES</t>
  </si>
  <si>
    <t>5341021 · FICA</t>
  </si>
  <si>
    <t>5341022  · Retirement Contributions</t>
  </si>
  <si>
    <t>5341023 · HEALTH/LIFE</t>
  </si>
  <si>
    <t>5341024 - Workers Comp Insurance</t>
  </si>
  <si>
    <t>5343032 · Audit &amp; Accounting</t>
  </si>
  <si>
    <t>5343045 - Insurance</t>
  </si>
  <si>
    <t>5343340 · Contract - Waste Pro</t>
  </si>
  <si>
    <t>5343420 · Postage</t>
  </si>
  <si>
    <t>SEWER COLLECTION</t>
  </si>
  <si>
    <t>5361012 · Salary</t>
  </si>
  <si>
    <t>5361014 · SC OVERTIME</t>
  </si>
  <si>
    <t>5361021 · FICA  Taxes</t>
  </si>
  <si>
    <t>5361023 · Life &amp; Health Insurance</t>
  </si>
  <si>
    <t>5361024 - Workers Comp Insurance</t>
  </si>
  <si>
    <t>5363032 - Audit &amp; Accounting</t>
  </si>
  <si>
    <t>5363040 - Travel &amp; Training</t>
  </si>
  <si>
    <t>5363041 · Communication Services</t>
  </si>
  <si>
    <t>5363042 · Postage &amp; Freight</t>
  </si>
  <si>
    <t>5363043 · Utility Service</t>
  </si>
  <si>
    <t>5363045 · Insurance</t>
  </si>
  <si>
    <t>5363046 · Repairs &amp; Maintenance</t>
  </si>
  <si>
    <t>5363051 · Office Supplies</t>
  </si>
  <si>
    <t>5363052 · Operating Supplies</t>
  </si>
  <si>
    <t>5363064 · Capital Outlay - Mach &amp; Equip</t>
  </si>
  <si>
    <t>SEWER PLANT  OPERATIONS</t>
  </si>
  <si>
    <t>5351012 · Salaries</t>
  </si>
  <si>
    <t>5351021 · FICA Taxes</t>
  </si>
  <si>
    <t>5351022 · Retirement Contribution</t>
  </si>
  <si>
    <t>5351023 · Life &amp; Health Insurance</t>
  </si>
  <si>
    <t>5351024  - Workers Comp Insurance</t>
  </si>
  <si>
    <t>5353031 · Testing</t>
  </si>
  <si>
    <t>5353040 · Travel &amp; Per Diem</t>
  </si>
  <si>
    <t>5353041 · COMMUNICATION SERVICE</t>
  </si>
  <si>
    <t>5353043 · UTILITY SERVICES</t>
  </si>
  <si>
    <t>5353045 · INSURANCE</t>
  </si>
  <si>
    <t>5353046 · REPAIRS &amp; MAINTENANCE SERVICE</t>
  </si>
  <si>
    <t>5353052 · OPERATING SUPPLIES</t>
  </si>
  <si>
    <t>5353054 · SUBSCRIPTIONS &amp; MEMBERSHIPS</t>
  </si>
  <si>
    <t>WATER DISTRIBUTION</t>
  </si>
  <si>
    <t>5360112 · Salary</t>
  </si>
  <si>
    <t>5360114 · WD OVERTIME</t>
  </si>
  <si>
    <t>5360121 · FICA Taxes</t>
  </si>
  <si>
    <t>5360122 · Retirement Contributions</t>
  </si>
  <si>
    <t>5360123 · Life &amp; Health Insurance</t>
  </si>
  <si>
    <t>5360332 - Audit &amp; Accounting</t>
  </si>
  <si>
    <t>5360340 · Travel &amp; Training</t>
  </si>
  <si>
    <t>5360341 · Communications Service</t>
  </si>
  <si>
    <t>5360342 · Postage &amp; Freight</t>
  </si>
  <si>
    <t>5360345 · Insurance</t>
  </si>
  <si>
    <t>5360346 · Repairs &amp; Maintenance</t>
  </si>
  <si>
    <t>5360351 · Office Supplies</t>
  </si>
  <si>
    <t>5360352 · Operating Supplies</t>
  </si>
  <si>
    <t>5360353 - (Over) / Shorts</t>
  </si>
  <si>
    <t>5363049 - Bank Service Charge</t>
  </si>
  <si>
    <t>5360364 · Capital Outlay Mach &amp; Equip</t>
  </si>
  <si>
    <t>WATER PLANT OPERATIONS</t>
  </si>
  <si>
    <t>5331012 · Salary</t>
  </si>
  <si>
    <t>5331021 · FICA Taxes</t>
  </si>
  <si>
    <t>5331022 · Retirement Contributions</t>
  </si>
  <si>
    <t>5331023 · Life &amp; Health Insurance</t>
  </si>
  <si>
    <t>5331024 - Workers Comp Insurance</t>
  </si>
  <si>
    <t>5333031 · Professional Services</t>
  </si>
  <si>
    <t>5333032 - Audit Accounting</t>
  </si>
  <si>
    <t>5333040 · Travel &amp; Training</t>
  </si>
  <si>
    <t>5333041 · Communication Service</t>
  </si>
  <si>
    <t>5333042 · Postage &amp; Freight</t>
  </si>
  <si>
    <t>5333043 · Utility Services</t>
  </si>
  <si>
    <t>5333045 · Insurance</t>
  </si>
  <si>
    <t>5333046 · Repairs &amp;  Maintenance</t>
  </si>
  <si>
    <t>5333049 - Other Current Charges</t>
  </si>
  <si>
    <t>5333051 · Office Supplies</t>
  </si>
  <si>
    <t>5333052 · Operating Supplies</t>
  </si>
  <si>
    <t>5333054 · Subscriptions &amp; Membership</t>
  </si>
  <si>
    <t>WATER PLANT OPERATIONS - Other</t>
  </si>
  <si>
    <t>517.310 · FDEP - Grant Expense</t>
  </si>
  <si>
    <t>5360353 · (Over) / Shorts</t>
  </si>
  <si>
    <t>591.720 - Non Operaitng Inerest Expenses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</si>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</sst>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8"/>
      <color theme="1"/>
      <name val="Arial"/>
      <family val="2"/>
    </font>
    <font>
      <sz val="8"/>
      <color rgb="FF32323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3" fillId="0" borderId="0" xfId="0" applyNumberFormat="1" applyFont="1"/>
    <xf numFmtId="49" fontId="0" fillId="0" borderId="0" xfId="0" applyNumberFormat="1" applyAlignment="1">
      <alignment horizontal="centerContinuous"/>
    </xf>
    <xf numFmtId="49" fontId="0" fillId="0" borderId="2" xfId="0" applyNumberFormat="1" applyBorder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49" fontId="3" fillId="6" borderId="3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5" fillId="6" borderId="0" xfId="0" applyNumberFormat="1" applyFont="1" applyFill="1"/>
    <xf numFmtId="49" fontId="5" fillId="0" borderId="0" xfId="0" applyNumberFormat="1" applyFont="1"/>
    <xf numFmtId="49" fontId="5" fillId="5" borderId="0" xfId="0" applyNumberFormat="1" applyFont="1" applyFill="1"/>
    <xf numFmtId="164" fontId="5" fillId="0" borderId="0" xfId="0" applyNumberFormat="1" applyFont="1"/>
    <xf numFmtId="164" fontId="5" fillId="3" borderId="0" xfId="0" applyNumberFormat="1" applyFont="1" applyFill="1"/>
    <xf numFmtId="49" fontId="5" fillId="3" borderId="0" xfId="0" applyNumberFormat="1" applyFont="1" applyFill="1"/>
    <xf numFmtId="49" fontId="6" fillId="0" borderId="0" xfId="0" applyNumberFormat="1" applyFont="1"/>
    <xf numFmtId="43" fontId="5" fillId="6" borderId="0" xfId="1" applyFont="1" applyFill="1"/>
    <xf numFmtId="43" fontId="5" fillId="0" borderId="0" xfId="1" applyFont="1"/>
    <xf numFmtId="43" fontId="5" fillId="7" borderId="0" xfId="1" applyFont="1" applyFill="1"/>
    <xf numFmtId="43" fontId="5" fillId="5" borderId="0" xfId="1" applyFont="1" applyFill="1"/>
    <xf numFmtId="43" fontId="5" fillId="3" borderId="0" xfId="1" applyFont="1" applyFill="1"/>
    <xf numFmtId="164" fontId="7" fillId="6" borderId="0" xfId="0" applyNumberFormat="1" applyFont="1" applyFill="1"/>
    <xf numFmtId="43" fontId="3" fillId="0" borderId="0" xfId="1" applyFont="1" applyFill="1"/>
    <xf numFmtId="43" fontId="3" fillId="5" borderId="0" xfId="1" applyFont="1" applyFill="1"/>
    <xf numFmtId="43" fontId="3" fillId="0" borderId="0" xfId="1" applyFont="1"/>
    <xf numFmtId="43" fontId="3" fillId="7" borderId="0" xfId="1" applyFont="1" applyFill="1"/>
    <xf numFmtId="43" fontId="3" fillId="3" borderId="0" xfId="1" applyFont="1" applyFill="1"/>
    <xf numFmtId="43" fontId="0" fillId="0" borderId="0" xfId="0" applyNumberFormat="1"/>
    <xf numFmtId="43" fontId="8" fillId="5" borderId="0" xfId="1" applyFont="1" applyFill="1"/>
    <xf numFmtId="43" fontId="8" fillId="3" borderId="0" xfId="1" applyFont="1" applyFill="1"/>
    <xf numFmtId="0" fontId="0" fillId="0" borderId="0" xfId="0" quotePrefix="1" applyAlignment="1">
      <alignment horizontal="left"/>
    </xf>
    <xf numFmtId="43" fontId="8" fillId="0" borderId="0" xfId="1" applyFont="1" applyFill="1"/>
    <xf numFmtId="164" fontId="7" fillId="6" borderId="4" xfId="0" applyNumberFormat="1" applyFont="1" applyFill="1" applyBorder="1"/>
    <xf numFmtId="43" fontId="5" fillId="6" borderId="4" xfId="1" applyFont="1" applyFill="1" applyBorder="1"/>
    <xf numFmtId="43" fontId="5" fillId="0" borderId="5" xfId="1" applyFont="1" applyBorder="1"/>
    <xf numFmtId="43" fontId="5" fillId="5" borderId="5" xfId="1" applyFont="1" applyFill="1" applyBorder="1"/>
    <xf numFmtId="43" fontId="5" fillId="0" borderId="5" xfId="1" applyFont="1" applyFill="1" applyBorder="1"/>
    <xf numFmtId="43" fontId="5" fillId="3" borderId="5" xfId="1" applyFont="1" applyFill="1" applyBorder="1"/>
    <xf numFmtId="0" fontId="9" fillId="0" borderId="0" xfId="0" applyFont="1"/>
    <xf numFmtId="43" fontId="5" fillId="0" borderId="0" xfId="1" applyFont="1" applyBorder="1"/>
    <xf numFmtId="164" fontId="7" fillId="5" borderId="0" xfId="0" applyNumberFormat="1" applyFont="1" applyFill="1"/>
    <xf numFmtId="43" fontId="5" fillId="8" borderId="0" xfId="1" applyFont="1" applyFill="1"/>
    <xf numFmtId="43" fontId="3" fillId="8" borderId="0" xfId="1" applyFont="1" applyFill="1"/>
    <xf numFmtId="43" fontId="3" fillId="0" borderId="0" xfId="1" applyFont="1" applyBorder="1"/>
    <xf numFmtId="0" fontId="3" fillId="0" borderId="0" xfId="0" applyFont="1"/>
    <xf numFmtId="43" fontId="5" fillId="6" borderId="6" xfId="1" applyFont="1" applyFill="1" applyBorder="1"/>
    <xf numFmtId="43" fontId="5" fillId="0" borderId="6" xfId="1" applyFont="1" applyBorder="1"/>
    <xf numFmtId="43" fontId="5" fillId="5" borderId="6" xfId="1" applyFont="1" applyFill="1" applyBorder="1"/>
    <xf numFmtId="43" fontId="5" fillId="3" borderId="6" xfId="1" applyFont="1" applyFill="1" applyBorder="1"/>
    <xf numFmtId="43" fontId="3" fillId="6" borderId="7" xfId="1" applyFont="1" applyFill="1" applyBorder="1"/>
    <xf numFmtId="43" fontId="3" fillId="0" borderId="7" xfId="1" applyFont="1" applyBorder="1"/>
    <xf numFmtId="43" fontId="3" fillId="5" borderId="7" xfId="1" applyFont="1" applyFill="1" applyBorder="1"/>
    <xf numFmtId="43" fontId="3" fillId="0" borderId="7" xfId="1" applyFont="1" applyFill="1" applyBorder="1"/>
    <xf numFmtId="43" fontId="3" fillId="3" borderId="7" xfId="1" applyFont="1" applyFill="1" applyBorder="1"/>
    <xf numFmtId="44" fontId="5" fillId="5" borderId="0" xfId="2" applyFont="1" applyFill="1"/>
    <xf numFmtId="44" fontId="5" fillId="0" borderId="0" xfId="2" applyFont="1"/>
    <xf numFmtId="44" fontId="5" fillId="4" borderId="0" xfId="2" applyFont="1" applyFill="1"/>
    <xf numFmtId="43" fontId="5" fillId="6" borderId="5" xfId="1" applyFont="1" applyFill="1" applyBorder="1"/>
    <xf numFmtId="43" fontId="5" fillId="6" borderId="0" xfId="1" applyFont="1" applyFill="1" applyBorder="1"/>
    <xf numFmtId="44" fontId="5" fillId="5" borderId="0" xfId="2" applyFont="1" applyFill="1" applyBorder="1"/>
    <xf numFmtId="44" fontId="5" fillId="0" borderId="0" xfId="2" applyFont="1" applyBorder="1"/>
    <xf numFmtId="44" fontId="1" fillId="2" borderId="0" xfId="3" applyNumberFormat="1"/>
    <xf numFmtId="2" fontId="0" fillId="0" borderId="0" xfId="0" applyNumberFormat="1"/>
    <xf numFmtId="44" fontId="3" fillId="5" borderId="0" xfId="2" applyFont="1" applyFill="1"/>
    <xf numFmtId="44" fontId="5" fillId="5" borderId="8" xfId="2" applyFont="1" applyFill="1" applyBorder="1"/>
    <xf numFmtId="43" fontId="5" fillId="0" borderId="8" xfId="1" applyFont="1" applyFill="1" applyBorder="1"/>
    <xf numFmtId="44" fontId="5" fillId="5" borderId="5" xfId="2" applyFont="1" applyFill="1" applyBorder="1"/>
    <xf numFmtId="43" fontId="3" fillId="0" borderId="5" xfId="1" applyFont="1" applyFill="1" applyBorder="1"/>
    <xf numFmtId="44" fontId="3" fillId="0" borderId="0" xfId="0" applyNumberFormat="1" applyFont="1"/>
    <xf numFmtId="44" fontId="1" fillId="0" borderId="0" xfId="2"/>
    <xf numFmtId="44" fontId="0" fillId="0" borderId="0" xfId="0" applyNumberFormat="1"/>
  </cellXfs>
  <cellStyles count="4">
    <cellStyle name="40% - Accent6" xfId="3" builtinId="51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200025</xdr:colOff>
          <xdr:row>0</xdr:row>
          <xdr:rowOff>190500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200025</xdr:colOff>
          <xdr:row>0</xdr:row>
          <xdr:rowOff>190500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nstax-my.sharepoint.com/Users/MichaelJWhitehead/AppData/Local/Microsoft/Windows/INetCache/Content.Outlook/A472SU1J/Budget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Budgets\Budget%202023-2024\2023-2024%20Final%20Budget.xlsx" TargetMode="External"/><Relationship Id="rId1" Type="http://schemas.openxmlformats.org/officeDocument/2006/relationships/externalLinkPath" Target="2023-2024%20Final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General"/>
      <sheetName val="Enterprise"/>
      <sheetName val="Payroll"/>
      <sheetName val="Enterprise - Allocation"/>
      <sheetName val="Insurance"/>
    </sheetNames>
    <sheetDataSet>
      <sheetData sheetId="0"/>
      <sheetData sheetId="1"/>
      <sheetData sheetId="2"/>
      <sheetData sheetId="3">
        <row r="14">
          <cell r="I14">
            <v>123500</v>
          </cell>
        </row>
      </sheetData>
      <sheetData sheetId="4">
        <row r="6">
          <cell r="H6">
            <v>31200</v>
          </cell>
        </row>
        <row r="14">
          <cell r="I14">
            <v>0</v>
          </cell>
          <cell r="K14">
            <v>0</v>
          </cell>
          <cell r="M14">
            <v>0</v>
          </cell>
          <cell r="Q14">
            <v>0</v>
          </cell>
        </row>
        <row r="15">
          <cell r="I15">
            <v>0</v>
          </cell>
          <cell r="K15">
            <v>0</v>
          </cell>
          <cell r="M15">
            <v>0</v>
          </cell>
          <cell r="Q15">
            <v>0</v>
          </cell>
        </row>
        <row r="16">
          <cell r="I16">
            <v>0</v>
          </cell>
          <cell r="K16">
            <v>0</v>
          </cell>
          <cell r="M16">
            <v>0</v>
          </cell>
          <cell r="Q16">
            <v>0</v>
          </cell>
        </row>
        <row r="17">
          <cell r="I17">
            <v>0</v>
          </cell>
          <cell r="M17">
            <v>0</v>
          </cell>
          <cell r="Q17">
            <v>0</v>
          </cell>
        </row>
        <row r="18">
          <cell r="I18">
            <v>0</v>
          </cell>
          <cell r="M18">
            <v>0</v>
          </cell>
          <cell r="Q18">
            <v>0</v>
          </cell>
        </row>
      </sheetData>
      <sheetData sheetId="5"/>
      <sheetData sheetId="6">
        <row r="7">
          <cell r="H7">
            <v>11093</v>
          </cell>
        </row>
        <row r="9">
          <cell r="H9">
            <v>9602</v>
          </cell>
        </row>
        <row r="11">
          <cell r="H11">
            <v>7367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roll"/>
      <sheetName val="Summary"/>
      <sheetName val="General"/>
      <sheetName val="Enterprise"/>
      <sheetName val="Sheet3"/>
      <sheetName val="Sheet1"/>
      <sheetName val="Sheet2"/>
      <sheetName val="Insurance "/>
      <sheetName val="Ent - Service"/>
      <sheetName val="Rate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>
            <v>7831</v>
          </cell>
        </row>
        <row r="10">
          <cell r="C10">
            <v>7825</v>
          </cell>
        </row>
        <row r="11">
          <cell r="C11">
            <v>7831</v>
          </cell>
        </row>
        <row r="12">
          <cell r="C12">
            <v>7831</v>
          </cell>
        </row>
      </sheetData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ael J. Whitehead" id="{BAB01809-91CA-445B-8CDD-7778838EE8E9}" userId="S::michael@jnstax.com::f8e68192-bdcc-4a73-8988-3fb3d025621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0-09-05T15:06:48.90" personId="{BAB01809-91CA-445B-8CDD-7778838EE8E9}" id="{7ED6D6A7-724C-4A14-93E4-5069D86DD4AF}">
    <text>Budget - Ad Valorem Tax
Based upon Trim Notice (DR-420).  18,806,653 Taxable value multiplied by 6.00 (Millage Rate) divided by 10000 = 112,840 multiplied by 95% = 107,198</text>
  </threadedComment>
  <threadedComment ref="O5" dT="2020-09-05T15:06:48.90" personId="{BAB01809-91CA-445B-8CDD-7778838EE8E9}" id="{7A999C3D-459A-44FF-97FF-FA448E5C0331}">
    <text>Budget - Ad Valorem Tax
Based upon Trim Notice (DR-420).  18,806,653 Taxable value multiplied by 6.00 (Millage Rate) divided by 10000 = 112,840 multiplied by 95% = 107,198</text>
  </threadedComment>
  <threadedComment ref="I11" dT="2020-09-05T13:53:31.75" personId="{BAB01809-91CA-445B-8CDD-7778838EE8E9}" id="{2939A534-BD37-4C79-B22F-5DCCC64570AA}">
    <text>Budget - Fax, Copy &amp; Notary 
Based upon 3 year Average FYE 2017 through 2019</text>
  </threadedComment>
  <threadedComment ref="O11" dT="2020-09-05T13:53:31.75" personId="{BAB01809-91CA-445B-8CDD-7778838EE8E9}" id="{BE0E3032-3B83-48F1-A486-1C5F47D43167}">
    <text>Budget - Fax, Copy &amp; Notary 
Based upon 3 year Average FYE 2017 through 2019</text>
  </threadedComment>
  <threadedComment ref="I12" dT="2020-09-05T13:54:49.73" personId="{BAB01809-91CA-445B-8CDD-7778838EE8E9}" id="{336ADDF9-E378-472D-89AC-7AD09311CC75}">
    <text>Budget - Equipment Rental 
Based upon 4 Year Average FYE 2016 to Current</text>
  </threadedComment>
  <threadedComment ref="O12" dT="2020-09-05T13:54:49.73" personId="{BAB01809-91CA-445B-8CDD-7778838EE8E9}" id="{B0034504-47B6-4702-ACD4-EEBB9C6C3DA6}">
    <text>Budget - Equipment Rental 
Based upon 4 Year Average FYE 2016 to Current</text>
  </threadedComment>
  <threadedComment ref="I13" dT="2020-09-05T13:56:39.83" personId="{BAB01809-91CA-445B-8CDD-7778838EE8E9}" id="{850E597E-339A-4345-9DD3-2FC246F812C0}">
    <text>Budget - Community Ctr Amphitheater Rental
Based upon 4 year Average - FYE 2016 to Current</text>
  </threadedComment>
  <threadedComment ref="O13" dT="2020-09-05T13:56:39.83" personId="{BAB01809-91CA-445B-8CDD-7778838EE8E9}" id="{002D8148-59A3-4C99-B09F-556EBABB4701}">
    <text>Budget - Community Ctr Amphitheater Rental
Based upon 4 year Average - FYE 2016 to Current</text>
  </threadedComment>
  <threadedComment ref="I14" dT="2020-09-05T14:00:59.84" personId="{BAB01809-91CA-445B-8CDD-7778838EE8E9}" id="{D72A2E38-08FD-44E3-9669-B930DE154472}">
    <text>Budget - Cell Tower Rental Fee
Based upon Contract</text>
  </threadedComment>
  <threadedComment ref="O14" dT="2020-09-05T14:00:59.84" personId="{BAB01809-91CA-445B-8CDD-7778838EE8E9}" id="{42B62CA0-AA22-4A92-9107-D6E87CE81D55}">
    <text>Budget - Cell Tower Rental Fee
Based upon Contract</text>
  </threadedComment>
  <threadedComment ref="I17" dT="2020-09-05T14:04:14.84" personId="{BAB01809-91CA-445B-8CDD-7778838EE8E9}" id="{9B231180-BE97-4449-9FE5-D3401948043F}">
    <text>Budget - Franchise Fees - Electric
Based upon 3 year average - FYE 2016 - 2019</text>
  </threadedComment>
  <threadedComment ref="O17" dT="2020-09-05T14:04:14.84" personId="{BAB01809-91CA-445B-8CDD-7778838EE8E9}" id="{6941E0F9-E61B-4435-A9B0-117FB55961BF}">
    <text>Budget - Franchise Fees - Electric
Based upon 3 year average - FYE 2016 - 2019</text>
  </threadedComment>
  <threadedComment ref="I21" dT="2020-09-05T14:05:43.67" personId="{BAB01809-91CA-445B-8CDD-7778838EE8E9}" id="{357F7269-565F-4DCF-91B4-25B8165F96F0}">
    <text>Budget - Grant - USDA Public Safety Vehicle
Base upon unused Grant at time of budget .  Note Corresponding Grant Expense included in Budget</text>
  </threadedComment>
  <threadedComment ref="O21" dT="2020-09-05T14:05:43.67" personId="{BAB01809-91CA-445B-8CDD-7778838EE8E9}" id="{5653F266-71CD-43D3-85E3-7A7ED13343AF}">
    <text>Budget - Grant - USDA Public Safety Vehicle
Base upon unused Grant at time of budget .  Note Corresponding Grant Expense included in Budget</text>
  </threadedComment>
  <threadedComment ref="I23" dT="2020-09-05T14:07:45.42" personId="{BAB01809-91CA-445B-8CDD-7778838EE8E9}" id="{00E84D65-EE81-4370-BD6F-3ED6266F1E7C}">
    <text>Budget - Grant - FDOT SCOP - Mill Street
Base upon unused Grant at time of budget .  Note Corresponding Grant Expense included in Budget</text>
  </threadedComment>
  <threadedComment ref="O23" dT="2020-09-05T14:07:45.42" personId="{BAB01809-91CA-445B-8CDD-7778838EE8E9}" id="{1B907F84-323F-410F-8C59-9A2C2DA0E52C}">
    <text>Budget - Grant - FDOT SCOP - Mill Street
Base upon unused Grant at time of budget .  Note Corresponding Grant Expense included in Budget</text>
  </threadedComment>
  <threadedComment ref="I24" dT="2020-09-05T14:09:32.19" personId="{BAB01809-91CA-445B-8CDD-7778838EE8E9}" id="{B12ACD24-1B26-47E5-B6F8-CB6607F554D1}">
    <text>Budget - Grant - FRDAP Ballfield
Base upon unused Grant at time of budget .  Note Corresponding Grant Expense included in Budget</text>
  </threadedComment>
  <threadedComment ref="O24" dT="2020-09-05T14:09:32.19" personId="{BAB01809-91CA-445B-8CDD-7778838EE8E9}" id="{59A97268-CCE2-41DA-8CC8-FECEE7543C3C}">
    <text>Budget - Grant - FRDAP Ballfield
Base upon unused Grant at time of budget .  Note Corresponding Grant Expense included in Budget</text>
  </threadedComment>
  <threadedComment ref="I25" dT="2020-09-05T14:10:35.44" personId="{BAB01809-91CA-445B-8CDD-7778838EE8E9}" id="{0A812500-4DDA-4C52-8F3D-3C134FE60369}">
    <text>Budget - Grant - CDBG Community Center
Base upon unused Grant at time of budget .  Note Corresponding Grant Expense included in Budget</text>
  </threadedComment>
  <threadedComment ref="O25" dT="2020-09-05T14:10:35.44" personId="{BAB01809-91CA-445B-8CDD-7778838EE8E9}" id="{C15F1B75-7CDC-4FF9-8A14-2461BCDE482D}">
    <text>Budget - Grant - CDBG Community Center
Base upon unused Grant at time of budget .  Note Corresponding Grant Expense included in Budget</text>
  </threadedComment>
  <threadedComment ref="I26" dT="2020-09-05T14:11:16.89" personId="{BAB01809-91CA-445B-8CDD-7778838EE8E9}" id="{E2BC1569-4021-4A0B-9021-DBDCE5064A5D}">
    <text>Budget - Grant - State Fire Marshall - Fire Grant
Base upon unused Grant at time of budget .  Note Corresponding Grant Expense included in Budget</text>
  </threadedComment>
  <threadedComment ref="O26" dT="2020-09-05T14:11:16.89" personId="{BAB01809-91CA-445B-8CDD-7778838EE8E9}" id="{1A7C030A-BA93-497E-AE74-CC1C5CD3808E}">
    <text>Budget - Grant - State Fire Marshall - Fire Grant
Base upon unused Grant at time of budget .  Note Corresponding Grant Expense included in Budget</text>
  </threadedComment>
  <threadedComment ref="I27" dT="2020-09-05T14:12:08.06" personId="{BAB01809-91CA-445B-8CDD-7778838EE8E9}" id="{08BAF5E7-95CF-4CB7-A21A-6BF0375EC845}">
    <text>Budget - Grant - FMIT Safety Grant
Base upon unused Grant at time of budget .  Note Corresponding Grant Expense included in Budget</text>
  </threadedComment>
  <threadedComment ref="O27" dT="2020-09-05T14:12:08.06" personId="{BAB01809-91CA-445B-8CDD-7778838EE8E9}" id="{CA41D48D-4EB8-4A57-883C-68D71EF11EB9}">
    <text>Budget - Grant - FMIT Safety Grant
Base upon unused Grant at time of budget .  Note Corresponding Grant Expense included in Budget</text>
  </threadedComment>
  <threadedComment ref="N49" dT="2020-09-05T13:17:06.72" personId="{BAB01809-91CA-445B-8CDD-7778838EE8E9}" id="{3380CCE7-1B49-4625-B1E6-9905761E53FF}">
    <text>Projected Actuals - Misc Revenue
Refund on Workers Comp Premiums for 2018-19 Fiscal Year - $3274.00</text>
  </threadedComment>
  <threadedComment ref="G64" dT="2020-09-05T17:26:27.78" personId="{BAB01809-91CA-445B-8CDD-7778838EE8E9}" id="{B29A4843-0E7C-41C0-85C4-AA2BE4150943}">
    <text>Budget - FL DOT Highway Lightin Sys
Based upon 2019-20 income.  Not Expecting increase for 2020-21</text>
  </threadedComment>
  <threadedComment ref="I64" dT="2020-09-05T17:26:27.78" personId="{BAB01809-91CA-445B-8CDD-7778838EE8E9}" id="{0B9D4714-7211-4D82-A59E-041444F998E0}">
    <text>Budget - FL DOT Highway Lightin Sys
Based upon 2019-20 income.  Not Expecting increase for 2020-21</text>
  </threadedComment>
  <threadedComment ref="O64" dT="2020-09-05T17:26:27.78" personId="{BAB01809-91CA-445B-8CDD-7778838EE8E9}" id="{8AA711BE-850A-45C1-9A94-D35FCDAC9AE8}">
    <text>Budget - FL DOT Highway Lightin Sys
Based upon 2019-20 income.  Not Expecting increase for 2020-21</text>
  </threadedComment>
  <threadedComment ref="O67" dT="2022-08-22T17:02:01.62" personId="{BAB01809-91CA-445B-8CDD-7778838EE8E9}" id="{F0D8BFD3-98F0-432E-8D6F-D729285B40E7}">
    <text>(1) Revenue from State of Florida
Based upon Local Municipality Estimated Reports on 08/22/2022</text>
  </threadedComment>
  <threadedComment ref="I68" dT="2020-09-05T15:03:26.04" personId="{BAB01809-91CA-445B-8CDD-7778838EE8E9}" id="{C2B4A4D2-B70D-40F7-961A-8610F2B089D2}">
    <text>Budget - Communication Service Tax 
Based upon Florida Office of Tax Research Estimate for 2020-21 Report</text>
  </threadedComment>
  <threadedComment ref="N69" dT="2020-09-05T13:35:42.58" personId="{BAB01809-91CA-445B-8CDD-7778838EE8E9}" id="{DA8EEF82-59FA-4102-BFAB-C0D7275B3EDB}">
    <text>Projected Actual - State Revenue Sharing - Reduction in amount starting May 2020 per notice from State (COVID-19)</text>
  </threadedComment>
  <threadedComment ref="I83" dT="2020-09-05T14:29:02.61" personId="{BAB01809-91CA-445B-8CDD-7778838EE8E9}" id="{6257C749-AE2F-4324-8230-87E135BB69EF}">
    <text>Budget - Utility Service Tax - Electric
Base upon monthly average of 4500.00 per month - Duke Energy</text>
  </threadedComment>
  <threadedComment ref="I85" dT="2020-09-05T15:12:38.10" personId="{BAB01809-91CA-445B-8CDD-7778838EE8E9}" id="{75E0792F-DCF8-4338-B549-ADD963989548}">
    <text>Budget - Utility Tax - Water
This has been reported on the Enteprise side of the budget but actually belong to the Governmental side.  No documentation has been produced stating otherwise.</text>
  </threadedComment>
  <threadedComment ref="O168" dT="2020-09-05T18:54:47.25" personId="{BAB01809-91CA-445B-8CDD-7778838EE8E9}" id="{1ADDB6B3-0278-45B2-B352-4A4C761EC78C}">
    <text>Budget - Professional Fees
Based upon the following:
City Manager - 57200.00
Legal Support - 33660.00
IT Support - 11160.00</text>
  </threadedComment>
  <threadedComment ref="O171" dT="2020-09-14T15:17:29.54" personId="{BAB01809-91CA-445B-8CDD-7778838EE8E9}" id="{4A881B61-3AE8-4B34-9973-1FDB4F8DAB6F}">
    <text>Budget - Audit &amp; Accounting - General  (50%)
Sexton &amp; Schnoll CPA (Audit) - 16000.00
J &amp; S Accounting and Tax - 21450.00</text>
  </threadedComment>
  <threadedComment ref="O174" dT="2020-09-05T19:01:06.62" personId="{BAB01809-91CA-445B-8CDD-7778838EE8E9}" id="{77EA7F88-D4FD-49AF-B5DF-1BCE04CE6FD3}">
    <text>Budget - General - Communictation Services 
Base upon the following:
Great American Financing - 720.00
Windstreem - 2400.00</text>
  </threadedComment>
  <threadedComment ref="O177" dT="2020-09-05T19:06:33.60" personId="{BAB01809-91CA-445B-8CDD-7778838EE8E9}" id="{067BA9E4-DA24-4561-9B15-135369F25C4D}">
    <text>Budget - General - Rental &amp; Lease
Based upon the following:
Xerox Financial Services - 2226.00
Pitney Bowes Global - 2340.00</text>
  </threadedComment>
  <threadedComment ref="O201" dT="2020-09-14T15:30:16.12" personId="{BAB01809-91CA-445B-8CDD-7778838EE8E9}" id="{72A791DE-C458-4FEA-947A-0F8559984B31}">
    <text>Budget - Travel &amp; Training - Police
Based upon 4 year average of ($3514.16) plus request from Mayor for additional $3000.00</text>
  </threadedComment>
  <threadedComment ref="O202" dT="2020-09-05T19:27:48.35" personId="{BAB01809-91CA-445B-8CDD-7778838EE8E9}" id="{E5FE4688-92CA-4ABC-B9C6-D64053A3EA00}">
    <text>Budget - Police - Communication Services
Based upon the Following:
2 AT&amp;T Mobile BIlls - 3720.00
Windstream Bill - 2400.00
Xerox Financial Services - 660.00</text>
  </threadedComment>
  <threadedComment ref="O217" dT="2020-09-05T19:47:46.51" personId="{BAB01809-91CA-445B-8CDD-7778838EE8E9}" id="{C4E60CA3-5702-4C70-9471-21C97FDE6274}">
    <text>Budget - Fire - Professional Services
Based Upon the Following:
Security Safe Communication  included and increase in Contract by $1000.00 Annually</text>
  </threadedComment>
  <threadedComment ref="O218" dT="2020-09-05T19:45:27.86" personId="{BAB01809-91CA-445B-8CDD-7778838EE8E9}" id="{5648D8FD-33E0-4EB5-9DBA-ECEA413E5BE6}">
    <text>Budget - Fire - Communitcation Services
Based upon the follwing:
Windstream - 2400.00
Xerox Financial Services - 660.00</text>
  </threadedComment>
  <threadedComment ref="O222" dT="2020-09-05T19:53:08.88" personId="{BAB01809-91CA-445B-8CDD-7778838EE8E9}" id="{781CCCF5-120F-4C58-AA9F-8E2CB7FDCEC3}">
    <text>Budget - Fire - Operating Supplies 
Included Non Accountable Expense Reimbursmenet for Volunties of 6600.00 plus 6000.00 in operating Supplies.</text>
  </threadedComment>
  <threadedComment ref="O227" dT="2020-09-07T17:24:05.86" personId="{BAB01809-91CA-445B-8CDD-7778838EE8E9}" id="{8F5DE07C-33C9-43A9-8F4F-49C1E0D8905B}">
    <text>Budget - Debt Services - Leasing 2 Inc
Purchase of 2005 E-One International 440 Commercial Pumper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O8" dT="2022-08-19T15:59:58.03" personId="{BAB01809-91CA-445B-8CDD-7778838EE8E9}" id="{2DB0848C-099C-4832-8EF9-7D73377BF789}">
    <text>Sewer Revenue
Monthly average for 9 month * 12 *1.20</text>
  </threadedComment>
  <threadedComment ref="O45" dT="2022-08-20T15:51:05.73" personId="{BAB01809-91CA-445B-8CDD-7778838EE8E9}" id="{395A9CF9-3C4D-46A4-9B63-67E6C35E67F4}">
    <text>Wages and ERE
Per Payroll Allocation Work Sheet for 2022-23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Relationship Id="rId9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412A-A848-49BB-8E7A-A94709529E2C}">
  <sheetPr codeName="Sheet6">
    <pageSetUpPr fitToPage="1"/>
  </sheetPr>
  <dimension ref="A1:T248"/>
  <sheetViews>
    <sheetView tabSelected="1" view="pageLayout" zoomScaleNormal="136" workbookViewId="0">
      <pane xSplit="8265" ySplit="2985" topLeftCell="N1" activePane="topRight"/>
      <selection sqref="A1:Q161"/>
      <selection pane="topRight" activeCell="N1" sqref="N1"/>
      <selection pane="bottomLeft" sqref="A1:Q161"/>
      <selection pane="bottomRight" activeCell="N1" sqref="N1"/>
    </sheetView>
  </sheetViews>
  <sheetFormatPr defaultRowHeight="15" x14ac:dyDescent="0.25"/>
  <cols>
    <col min="1" max="3" width="3" style="47" customWidth="1"/>
    <col min="4" max="4" width="42.85546875" style="47" customWidth="1"/>
    <col min="5" max="5" width="13" customWidth="1"/>
    <col min="6" max="6" width="2.28515625" customWidth="1"/>
    <col min="7" max="7" width="12.85546875" customWidth="1"/>
    <col min="8" max="8" width="2.28515625" customWidth="1"/>
    <col min="9" max="9" width="12.85546875" customWidth="1"/>
    <col min="10" max="10" width="2.28515625" customWidth="1"/>
    <col min="11" max="11" width="14" customWidth="1"/>
    <col min="12" max="12" width="9.140625" customWidth="1"/>
    <col min="13" max="15" width="15.7109375" customWidth="1"/>
    <col min="19" max="19" width="10.5703125" bestFit="1" customWidth="1"/>
  </cols>
  <sheetData>
    <row r="1" spans="1:15" ht="15.75" thickBot="1" x14ac:dyDescent="0.3">
      <c r="A1" s="3"/>
      <c r="B1" s="3"/>
      <c r="C1" s="3"/>
      <c r="D1" s="3"/>
      <c r="E1" s="4"/>
      <c r="F1" s="4"/>
      <c r="G1" s="4"/>
      <c r="H1" s="4"/>
      <c r="I1" s="4"/>
      <c r="J1" s="5"/>
      <c r="K1" s="6" t="s">
        <v>1</v>
      </c>
      <c r="M1" s="2" t="s">
        <v>2</v>
      </c>
      <c r="N1" s="2" t="s">
        <v>3</v>
      </c>
      <c r="O1" s="2" t="s">
        <v>2</v>
      </c>
    </row>
    <row r="2" spans="1:15" s="2" customFormat="1" ht="16.5" thickTop="1" thickBot="1" x14ac:dyDescent="0.3">
      <c r="A2" s="7"/>
      <c r="B2" s="7"/>
      <c r="C2" s="7"/>
      <c r="D2" s="7"/>
      <c r="E2" s="8" t="s">
        <v>4</v>
      </c>
      <c r="F2" s="9"/>
      <c r="G2" s="9" t="s">
        <v>1</v>
      </c>
      <c r="H2" s="9"/>
      <c r="I2" s="9" t="s">
        <v>2</v>
      </c>
      <c r="J2" s="10"/>
      <c r="K2" s="9" t="s">
        <v>5</v>
      </c>
      <c r="M2" s="11" t="s">
        <v>0</v>
      </c>
      <c r="N2" s="11" t="s">
        <v>0</v>
      </c>
      <c r="O2" s="11" t="s">
        <v>6</v>
      </c>
    </row>
    <row r="3" spans="1:15" ht="15.75" thickTop="1" x14ac:dyDescent="0.25">
      <c r="A3" s="3"/>
      <c r="B3" s="3" t="s">
        <v>7</v>
      </c>
      <c r="C3" s="3"/>
      <c r="D3" s="3"/>
      <c r="E3" s="12"/>
      <c r="F3" s="13"/>
      <c r="G3" s="13"/>
      <c r="H3" s="13"/>
      <c r="I3" s="14"/>
      <c r="J3" s="13"/>
      <c r="K3" s="15"/>
      <c r="M3" s="16"/>
      <c r="N3" s="13"/>
      <c r="O3" s="17"/>
    </row>
    <row r="4" spans="1:15" x14ac:dyDescent="0.25">
      <c r="A4" s="3"/>
      <c r="B4" s="3"/>
      <c r="C4" s="18" t="s">
        <v>8</v>
      </c>
      <c r="D4" s="18"/>
      <c r="E4" s="19"/>
      <c r="F4" s="20"/>
      <c r="G4" s="21"/>
      <c r="H4" s="20"/>
      <c r="I4" s="22"/>
      <c r="J4" s="20"/>
      <c r="K4" s="20"/>
      <c r="M4" s="23"/>
      <c r="N4" s="20"/>
      <c r="O4" s="23"/>
    </row>
    <row r="5" spans="1:15" x14ac:dyDescent="0.25">
      <c r="A5" s="3"/>
      <c r="B5" s="3"/>
      <c r="C5" s="18"/>
      <c r="D5" s="18" t="s">
        <v>9</v>
      </c>
      <c r="E5" s="24">
        <v>135208</v>
      </c>
      <c r="F5" s="25"/>
      <c r="G5" s="25">
        <v>135259</v>
      </c>
      <c r="H5" s="25"/>
      <c r="I5" s="26">
        <v>129572.4</v>
      </c>
      <c r="J5" s="27"/>
      <c r="K5" s="28">
        <f>+G5-I5</f>
        <v>5686.6000000000058</v>
      </c>
      <c r="L5" s="1"/>
      <c r="M5" s="29">
        <f>+I5</f>
        <v>129572.4</v>
      </c>
      <c r="N5" s="27">
        <f>+G5</f>
        <v>135259</v>
      </c>
      <c r="O5" s="29">
        <f>147402*0.95</f>
        <v>140031.9</v>
      </c>
    </row>
    <row r="6" spans="1:15" x14ac:dyDescent="0.25">
      <c r="A6" s="3"/>
      <c r="B6" s="3"/>
      <c r="C6" s="18"/>
      <c r="D6" s="18"/>
      <c r="E6" s="24"/>
      <c r="F6" s="25"/>
      <c r="G6" s="25">
        <f t="shared" ref="G6:G69" si="0">ROUND(E6/9*12,0)</f>
        <v>0</v>
      </c>
      <c r="H6" s="25"/>
      <c r="I6" s="26"/>
      <c r="J6" s="27"/>
      <c r="K6" s="28">
        <f t="shared" ref="K6:K69" si="1">+G6-I6</f>
        <v>0</v>
      </c>
      <c r="L6" s="1"/>
      <c r="M6" s="29">
        <f t="shared" ref="M6:M69" si="2">+I6</f>
        <v>0</v>
      </c>
      <c r="N6" s="27">
        <f t="shared" ref="N6:N69" si="3">+G6</f>
        <v>0</v>
      </c>
      <c r="O6" s="29"/>
    </row>
    <row r="7" spans="1:15" x14ac:dyDescent="0.25">
      <c r="A7" s="3"/>
      <c r="B7" s="3"/>
      <c r="C7" s="18" t="s">
        <v>10</v>
      </c>
      <c r="D7" s="18"/>
      <c r="E7" s="24"/>
      <c r="F7" s="20"/>
      <c r="G7" s="25">
        <f t="shared" si="0"/>
        <v>0</v>
      </c>
      <c r="H7" s="20"/>
      <c r="I7" s="22"/>
      <c r="J7" s="20"/>
      <c r="K7" s="28">
        <f t="shared" si="1"/>
        <v>0</v>
      </c>
      <c r="M7" s="29">
        <f t="shared" si="2"/>
        <v>0</v>
      </c>
      <c r="N7" s="27">
        <f t="shared" si="3"/>
        <v>0</v>
      </c>
      <c r="O7" s="23"/>
    </row>
    <row r="8" spans="1:15" x14ac:dyDescent="0.25">
      <c r="A8" s="3"/>
      <c r="B8" s="3"/>
      <c r="C8" s="18"/>
      <c r="D8" s="18" t="s">
        <v>11</v>
      </c>
      <c r="E8" s="24">
        <v>0</v>
      </c>
      <c r="F8" s="20"/>
      <c r="G8" s="25">
        <f t="shared" si="0"/>
        <v>0</v>
      </c>
      <c r="H8" s="20"/>
      <c r="I8" s="22">
        <v>0</v>
      </c>
      <c r="J8" s="20"/>
      <c r="K8" s="28">
        <f t="shared" si="1"/>
        <v>0</v>
      </c>
      <c r="M8" s="29">
        <f t="shared" si="2"/>
        <v>0</v>
      </c>
      <c r="N8" s="27">
        <f t="shared" si="3"/>
        <v>0</v>
      </c>
      <c r="O8" s="23">
        <v>0</v>
      </c>
    </row>
    <row r="9" spans="1:15" x14ac:dyDescent="0.25">
      <c r="A9" s="3"/>
      <c r="B9" s="3"/>
      <c r="C9" s="18"/>
      <c r="D9" s="18"/>
      <c r="E9" s="24"/>
      <c r="F9" s="20"/>
      <c r="G9" s="25">
        <f t="shared" si="0"/>
        <v>0</v>
      </c>
      <c r="H9" s="20"/>
      <c r="I9" s="22"/>
      <c r="J9" s="20"/>
      <c r="K9" s="28"/>
      <c r="M9" s="29"/>
      <c r="N9" s="27"/>
      <c r="O9" s="23"/>
    </row>
    <row r="10" spans="1:15" x14ac:dyDescent="0.25">
      <c r="A10" s="3"/>
      <c r="B10" s="3"/>
      <c r="C10" s="18" t="s">
        <v>12</v>
      </c>
      <c r="D10" s="18"/>
      <c r="E10" s="24"/>
      <c r="F10" s="20"/>
      <c r="G10" s="25">
        <f t="shared" si="0"/>
        <v>0</v>
      </c>
      <c r="H10" s="20"/>
      <c r="I10" s="22"/>
      <c r="J10" s="20"/>
      <c r="K10" s="28"/>
      <c r="M10" s="29"/>
      <c r="N10" s="27"/>
      <c r="O10" s="23"/>
    </row>
    <row r="11" spans="1:15" x14ac:dyDescent="0.25">
      <c r="A11" s="3"/>
      <c r="B11" s="3"/>
      <c r="C11" s="18"/>
      <c r="D11" s="18" t="s">
        <v>13</v>
      </c>
      <c r="E11" s="24">
        <v>0</v>
      </c>
      <c r="F11" s="20"/>
      <c r="G11" s="25">
        <f t="shared" si="0"/>
        <v>0</v>
      </c>
      <c r="H11" s="20"/>
      <c r="I11" s="22">
        <v>25</v>
      </c>
      <c r="J11" s="20"/>
      <c r="K11" s="28">
        <f t="shared" si="1"/>
        <v>-25</v>
      </c>
      <c r="M11" s="29">
        <f t="shared" si="2"/>
        <v>25</v>
      </c>
      <c r="N11" s="27">
        <f t="shared" si="3"/>
        <v>0</v>
      </c>
      <c r="O11" s="23">
        <v>0</v>
      </c>
    </row>
    <row r="12" spans="1:15" x14ac:dyDescent="0.25">
      <c r="A12" s="3"/>
      <c r="B12" s="3"/>
      <c r="C12" s="18"/>
      <c r="D12" s="18" t="s">
        <v>14</v>
      </c>
      <c r="E12" s="24">
        <v>0</v>
      </c>
      <c r="F12" s="20"/>
      <c r="G12" s="25">
        <f t="shared" si="0"/>
        <v>0</v>
      </c>
      <c r="H12" s="20"/>
      <c r="I12" s="22">
        <v>0</v>
      </c>
      <c r="J12" s="20"/>
      <c r="K12" s="28">
        <f t="shared" si="1"/>
        <v>0</v>
      </c>
      <c r="M12" s="29">
        <f t="shared" si="2"/>
        <v>0</v>
      </c>
      <c r="N12" s="27">
        <f t="shared" si="3"/>
        <v>0</v>
      </c>
      <c r="O12" s="23">
        <v>0</v>
      </c>
    </row>
    <row r="13" spans="1:15" x14ac:dyDescent="0.25">
      <c r="A13" s="3"/>
      <c r="B13" s="3"/>
      <c r="C13" s="18"/>
      <c r="D13" s="18" t="s">
        <v>15</v>
      </c>
      <c r="E13" s="24">
        <v>0</v>
      </c>
      <c r="F13" s="20"/>
      <c r="G13" s="25">
        <f t="shared" si="0"/>
        <v>0</v>
      </c>
      <c r="H13" s="20"/>
      <c r="I13" s="22">
        <v>0</v>
      </c>
      <c r="J13" s="20"/>
      <c r="K13" s="28">
        <f t="shared" si="1"/>
        <v>0</v>
      </c>
      <c r="M13" s="29">
        <f t="shared" si="2"/>
        <v>0</v>
      </c>
      <c r="N13" s="27">
        <f t="shared" si="3"/>
        <v>0</v>
      </c>
      <c r="O13" s="23">
        <v>0</v>
      </c>
    </row>
    <row r="14" spans="1:15" x14ac:dyDescent="0.25">
      <c r="A14" s="3"/>
      <c r="B14" s="3"/>
      <c r="C14" s="18"/>
      <c r="D14" s="18" t="s">
        <v>16</v>
      </c>
      <c r="E14" s="24">
        <v>10879.89</v>
      </c>
      <c r="F14" s="20"/>
      <c r="G14" s="25">
        <f t="shared" si="0"/>
        <v>14507</v>
      </c>
      <c r="H14" s="20"/>
      <c r="I14" s="22">
        <v>13231</v>
      </c>
      <c r="J14" s="20"/>
      <c r="K14" s="28">
        <f t="shared" si="1"/>
        <v>1276</v>
      </c>
      <c r="M14" s="29">
        <f t="shared" si="2"/>
        <v>13231</v>
      </c>
      <c r="N14" s="27">
        <f t="shared" si="3"/>
        <v>14507</v>
      </c>
      <c r="O14" s="23">
        <f>ROUND((1102.62)*12,0)</f>
        <v>13231</v>
      </c>
    </row>
    <row r="15" spans="1:15" x14ac:dyDescent="0.25">
      <c r="A15" s="3"/>
      <c r="B15" s="3"/>
      <c r="C15" s="18"/>
      <c r="D15" s="18"/>
      <c r="E15" s="24"/>
      <c r="F15" s="20"/>
      <c r="G15" s="25">
        <f t="shared" si="0"/>
        <v>0</v>
      </c>
      <c r="H15" s="20"/>
      <c r="I15" s="22"/>
      <c r="J15" s="20"/>
      <c r="K15" s="28"/>
      <c r="M15" s="29"/>
      <c r="N15" s="27"/>
      <c r="O15" s="23"/>
    </row>
    <row r="16" spans="1:15" x14ac:dyDescent="0.25">
      <c r="A16" s="3"/>
      <c r="B16" s="3"/>
      <c r="C16" s="18" t="s">
        <v>17</v>
      </c>
      <c r="D16" s="18"/>
      <c r="E16" s="24"/>
      <c r="F16" s="20"/>
      <c r="G16" s="25">
        <f t="shared" si="0"/>
        <v>0</v>
      </c>
      <c r="H16" s="20"/>
      <c r="I16" s="22"/>
      <c r="J16" s="20"/>
      <c r="K16" s="28">
        <f t="shared" si="1"/>
        <v>0</v>
      </c>
      <c r="M16" s="29">
        <f t="shared" si="2"/>
        <v>0</v>
      </c>
      <c r="N16" s="27">
        <f t="shared" si="3"/>
        <v>0</v>
      </c>
      <c r="O16" s="23"/>
    </row>
    <row r="17" spans="1:19" x14ac:dyDescent="0.25">
      <c r="A17" s="3"/>
      <c r="B17" s="3"/>
      <c r="C17" s="18"/>
      <c r="D17" s="18" t="s">
        <v>18</v>
      </c>
      <c r="E17" s="24">
        <v>15914.35</v>
      </c>
      <c r="F17" s="20"/>
      <c r="G17" s="25">
        <f>ROUND(E17/4*12,0)</f>
        <v>47743</v>
      </c>
      <c r="H17" s="20"/>
      <c r="I17" s="22">
        <v>43000</v>
      </c>
      <c r="J17" s="20"/>
      <c r="K17" s="28">
        <f t="shared" si="1"/>
        <v>4743</v>
      </c>
      <c r="M17" s="29">
        <f t="shared" si="2"/>
        <v>43000</v>
      </c>
      <c r="N17" s="27">
        <f t="shared" si="3"/>
        <v>47743</v>
      </c>
      <c r="O17" s="23">
        <f>3500*12</f>
        <v>42000</v>
      </c>
    </row>
    <row r="18" spans="1:19" x14ac:dyDescent="0.25">
      <c r="A18" s="3"/>
      <c r="B18" s="3"/>
      <c r="C18" s="18"/>
      <c r="D18" s="18" t="s">
        <v>19</v>
      </c>
      <c r="E18" s="24"/>
      <c r="F18" s="20"/>
      <c r="G18" s="25">
        <f t="shared" si="0"/>
        <v>0</v>
      </c>
      <c r="H18" s="20"/>
      <c r="I18" s="22">
        <v>0</v>
      </c>
      <c r="J18" s="20"/>
      <c r="K18" s="28">
        <f t="shared" si="1"/>
        <v>0</v>
      </c>
      <c r="M18" s="29">
        <f t="shared" si="2"/>
        <v>0</v>
      </c>
      <c r="N18" s="27">
        <f t="shared" si="3"/>
        <v>0</v>
      </c>
      <c r="O18" s="23">
        <v>12000</v>
      </c>
    </row>
    <row r="19" spans="1:19" x14ac:dyDescent="0.25">
      <c r="A19" s="3"/>
      <c r="B19" s="3"/>
      <c r="C19" s="18"/>
      <c r="D19" s="18"/>
      <c r="E19" s="24"/>
      <c r="F19" s="20"/>
      <c r="G19" s="25">
        <f t="shared" si="0"/>
        <v>0</v>
      </c>
      <c r="H19" s="20"/>
      <c r="I19" s="22"/>
      <c r="J19" s="20"/>
      <c r="K19" s="28"/>
      <c r="M19" s="29"/>
      <c r="N19" s="27"/>
      <c r="O19" s="23"/>
    </row>
    <row r="20" spans="1:19" x14ac:dyDescent="0.25">
      <c r="A20" s="3"/>
      <c r="B20" s="3"/>
      <c r="C20" s="18" t="s">
        <v>20</v>
      </c>
      <c r="D20" s="18"/>
      <c r="E20" s="24"/>
      <c r="F20" s="20"/>
      <c r="G20" s="25">
        <f t="shared" si="0"/>
        <v>0</v>
      </c>
      <c r="H20" s="20"/>
      <c r="I20" s="22"/>
      <c r="J20" s="20"/>
      <c r="K20" s="28"/>
      <c r="M20" s="29"/>
      <c r="N20" s="27"/>
      <c r="O20" s="23"/>
    </row>
    <row r="21" spans="1:19" x14ac:dyDescent="0.25">
      <c r="A21" s="3"/>
      <c r="B21" s="3"/>
      <c r="C21" s="18"/>
      <c r="D21" s="18" t="s">
        <v>21</v>
      </c>
      <c r="E21" s="24">
        <v>0</v>
      </c>
      <c r="F21" s="27"/>
      <c r="G21" s="25">
        <f t="shared" si="0"/>
        <v>0</v>
      </c>
      <c r="H21" s="27"/>
      <c r="I21" s="22">
        <v>0</v>
      </c>
      <c r="J21" s="27"/>
      <c r="K21" s="28">
        <f t="shared" si="1"/>
        <v>0</v>
      </c>
      <c r="L21" s="1"/>
      <c r="M21" s="29">
        <f t="shared" si="2"/>
        <v>0</v>
      </c>
      <c r="N21" s="27">
        <f t="shared" si="3"/>
        <v>0</v>
      </c>
      <c r="O21" s="23">
        <v>0</v>
      </c>
    </row>
    <row r="22" spans="1:19" x14ac:dyDescent="0.25">
      <c r="A22" s="3"/>
      <c r="B22" s="3"/>
      <c r="C22" s="18"/>
      <c r="D22" s="18" t="s">
        <v>22</v>
      </c>
      <c r="E22" s="24">
        <v>0</v>
      </c>
      <c r="F22" s="27"/>
      <c r="G22" s="25">
        <f t="shared" si="0"/>
        <v>0</v>
      </c>
      <c r="H22" s="27"/>
      <c r="I22" s="22">
        <v>0</v>
      </c>
      <c r="J22" s="27"/>
      <c r="K22" s="28">
        <f t="shared" si="1"/>
        <v>0</v>
      </c>
      <c r="L22" s="1"/>
      <c r="M22" s="29">
        <f t="shared" si="2"/>
        <v>0</v>
      </c>
      <c r="N22" s="27">
        <f t="shared" si="3"/>
        <v>0</v>
      </c>
      <c r="O22" s="23">
        <v>0</v>
      </c>
    </row>
    <row r="23" spans="1:19" x14ac:dyDescent="0.25">
      <c r="A23" s="3"/>
      <c r="B23" s="3"/>
      <c r="C23" s="18"/>
      <c r="D23" s="18" t="s">
        <v>23</v>
      </c>
      <c r="E23" s="24">
        <v>0</v>
      </c>
      <c r="F23" s="20"/>
      <c r="G23" s="25">
        <f t="shared" si="0"/>
        <v>0</v>
      </c>
      <c r="H23" s="20"/>
      <c r="I23" s="22">
        <v>0</v>
      </c>
      <c r="J23" s="20"/>
      <c r="K23" s="28">
        <f t="shared" si="1"/>
        <v>0</v>
      </c>
      <c r="M23" s="29">
        <f t="shared" si="2"/>
        <v>0</v>
      </c>
      <c r="N23" s="27">
        <f t="shared" si="3"/>
        <v>0</v>
      </c>
      <c r="O23" s="23">
        <v>0</v>
      </c>
    </row>
    <row r="24" spans="1:19" x14ac:dyDescent="0.25">
      <c r="A24" s="3"/>
      <c r="B24" s="3"/>
      <c r="C24" s="18"/>
      <c r="D24" s="18" t="s">
        <v>24</v>
      </c>
      <c r="E24" s="24">
        <v>0</v>
      </c>
      <c r="F24" s="20"/>
      <c r="G24" s="25">
        <f t="shared" si="0"/>
        <v>0</v>
      </c>
      <c r="H24" s="20"/>
      <c r="I24" s="22">
        <v>0</v>
      </c>
      <c r="J24" s="20"/>
      <c r="K24" s="28">
        <f t="shared" si="1"/>
        <v>0</v>
      </c>
      <c r="M24" s="29">
        <f t="shared" si="2"/>
        <v>0</v>
      </c>
      <c r="N24" s="27">
        <f t="shared" si="3"/>
        <v>0</v>
      </c>
      <c r="O24" s="23">
        <v>0</v>
      </c>
    </row>
    <row r="25" spans="1:19" x14ac:dyDescent="0.25">
      <c r="A25" s="3"/>
      <c r="B25" s="3"/>
      <c r="C25" s="18"/>
      <c r="D25" s="18" t="s">
        <v>25</v>
      </c>
      <c r="E25" s="24">
        <v>0</v>
      </c>
      <c r="F25" s="20"/>
      <c r="G25" s="25">
        <f t="shared" si="0"/>
        <v>0</v>
      </c>
      <c r="H25" s="20"/>
      <c r="I25" s="22">
        <v>0</v>
      </c>
      <c r="J25" s="20"/>
      <c r="K25" s="28">
        <f t="shared" si="1"/>
        <v>0</v>
      </c>
      <c r="M25" s="29">
        <f t="shared" si="2"/>
        <v>0</v>
      </c>
      <c r="N25" s="27">
        <f t="shared" si="3"/>
        <v>0</v>
      </c>
      <c r="O25" s="23">
        <v>0</v>
      </c>
    </row>
    <row r="26" spans="1:19" x14ac:dyDescent="0.25">
      <c r="A26" s="3"/>
      <c r="B26" s="3"/>
      <c r="C26" s="18"/>
      <c r="D26" s="18" t="s">
        <v>26</v>
      </c>
      <c r="E26" s="24">
        <v>0</v>
      </c>
      <c r="F26" s="20"/>
      <c r="G26" s="25">
        <f t="shared" si="0"/>
        <v>0</v>
      </c>
      <c r="H26" s="20"/>
      <c r="I26" s="22">
        <v>0</v>
      </c>
      <c r="J26" s="20"/>
      <c r="K26" s="28">
        <f t="shared" si="1"/>
        <v>0</v>
      </c>
      <c r="M26" s="29">
        <f t="shared" si="2"/>
        <v>0</v>
      </c>
      <c r="N26" s="27">
        <f t="shared" si="3"/>
        <v>0</v>
      </c>
      <c r="O26" s="23">
        <v>0</v>
      </c>
    </row>
    <row r="27" spans="1:19" x14ac:dyDescent="0.25">
      <c r="A27" s="3"/>
      <c r="B27" s="3"/>
      <c r="C27" s="18"/>
      <c r="D27" s="18" t="s">
        <v>27</v>
      </c>
      <c r="E27" s="24">
        <v>0</v>
      </c>
      <c r="F27" s="20"/>
      <c r="G27" s="25">
        <f t="shared" si="0"/>
        <v>0</v>
      </c>
      <c r="H27" s="20"/>
      <c r="I27" s="22">
        <v>0</v>
      </c>
      <c r="J27" s="20"/>
      <c r="K27" s="28">
        <f t="shared" si="1"/>
        <v>0</v>
      </c>
      <c r="M27" s="29">
        <f t="shared" si="2"/>
        <v>0</v>
      </c>
      <c r="N27" s="27">
        <f t="shared" si="3"/>
        <v>0</v>
      </c>
      <c r="O27" s="23">
        <v>0</v>
      </c>
    </row>
    <row r="28" spans="1:19" x14ac:dyDescent="0.25">
      <c r="A28" s="3"/>
      <c r="B28" s="3"/>
      <c r="C28" s="18"/>
      <c r="D28" s="18" t="s">
        <v>28</v>
      </c>
      <c r="E28" s="24">
        <v>0</v>
      </c>
      <c r="F28" s="20"/>
      <c r="G28" s="25">
        <f t="shared" si="0"/>
        <v>0</v>
      </c>
      <c r="H28" s="20"/>
      <c r="I28" s="22">
        <v>0</v>
      </c>
      <c r="J28" s="20"/>
      <c r="K28" s="28">
        <f t="shared" si="1"/>
        <v>0</v>
      </c>
      <c r="M28" s="29">
        <f t="shared" si="2"/>
        <v>0</v>
      </c>
      <c r="N28" s="27">
        <f t="shared" si="3"/>
        <v>0</v>
      </c>
      <c r="O28" s="23">
        <v>0</v>
      </c>
    </row>
    <row r="29" spans="1:19" x14ac:dyDescent="0.25">
      <c r="A29" s="3"/>
      <c r="B29" s="3"/>
      <c r="C29" s="18"/>
      <c r="D29" s="18"/>
      <c r="E29" s="24"/>
      <c r="F29" s="20"/>
      <c r="G29" s="25">
        <f t="shared" si="0"/>
        <v>0</v>
      </c>
      <c r="H29" s="20"/>
      <c r="I29" s="22"/>
      <c r="J29" s="20"/>
      <c r="K29" s="28"/>
      <c r="M29" s="29"/>
      <c r="N29" s="27"/>
      <c r="O29" s="23"/>
    </row>
    <row r="30" spans="1:19" x14ac:dyDescent="0.25">
      <c r="A30" s="3"/>
      <c r="B30" s="3"/>
      <c r="C30" s="18" t="s">
        <v>29</v>
      </c>
      <c r="D30" s="18"/>
      <c r="E30" s="24"/>
      <c r="F30" s="20"/>
      <c r="G30" s="25">
        <f t="shared" si="0"/>
        <v>0</v>
      </c>
      <c r="H30" s="20"/>
      <c r="I30" s="22"/>
      <c r="J30" s="20"/>
      <c r="K30" s="28"/>
      <c r="M30" s="29"/>
      <c r="N30" s="27"/>
      <c r="O30" s="23"/>
    </row>
    <row r="31" spans="1:19" x14ac:dyDescent="0.25">
      <c r="A31" s="3"/>
      <c r="B31" s="3"/>
      <c r="C31" s="18"/>
      <c r="D31" s="18" t="s">
        <v>30</v>
      </c>
      <c r="E31" s="24">
        <v>0</v>
      </c>
      <c r="F31" s="20"/>
      <c r="G31" s="25">
        <f t="shared" si="0"/>
        <v>0</v>
      </c>
      <c r="H31" s="20"/>
      <c r="I31" s="22">
        <v>0</v>
      </c>
      <c r="J31" s="20"/>
      <c r="K31" s="28">
        <f t="shared" si="1"/>
        <v>0</v>
      </c>
      <c r="M31" s="29">
        <f t="shared" si="2"/>
        <v>0</v>
      </c>
      <c r="N31" s="27">
        <f t="shared" si="3"/>
        <v>0</v>
      </c>
      <c r="O31" s="23">
        <v>0</v>
      </c>
      <c r="S31" s="30"/>
    </row>
    <row r="32" spans="1:19" x14ac:dyDescent="0.25">
      <c r="A32" s="3"/>
      <c r="B32" s="3"/>
      <c r="C32" s="18"/>
      <c r="D32" s="18" t="s">
        <v>31</v>
      </c>
      <c r="E32" s="24">
        <v>0</v>
      </c>
      <c r="F32" s="20"/>
      <c r="G32" s="25">
        <f t="shared" si="0"/>
        <v>0</v>
      </c>
      <c r="H32" s="20"/>
      <c r="I32" s="22">
        <v>0</v>
      </c>
      <c r="J32" s="20"/>
      <c r="K32" s="28">
        <f t="shared" si="1"/>
        <v>0</v>
      </c>
      <c r="M32" s="29">
        <f t="shared" si="2"/>
        <v>0</v>
      </c>
      <c r="N32" s="27">
        <f t="shared" si="3"/>
        <v>0</v>
      </c>
      <c r="O32" s="23">
        <v>0</v>
      </c>
    </row>
    <row r="33" spans="1:15" x14ac:dyDescent="0.25">
      <c r="A33" s="3"/>
      <c r="B33" s="3"/>
      <c r="C33" s="18"/>
      <c r="D33" s="18"/>
      <c r="E33" s="24"/>
      <c r="F33" s="20"/>
      <c r="G33" s="25"/>
      <c r="H33" s="20"/>
      <c r="I33" s="22"/>
      <c r="J33" s="20"/>
      <c r="K33" s="28"/>
      <c r="M33" s="29"/>
      <c r="N33" s="27"/>
      <c r="O33" s="23"/>
    </row>
    <row r="34" spans="1:15" x14ac:dyDescent="0.25">
      <c r="A34" s="3"/>
      <c r="B34" s="3"/>
      <c r="C34" s="18" t="s">
        <v>32</v>
      </c>
      <c r="D34" s="18"/>
      <c r="E34" s="24"/>
      <c r="F34" s="20"/>
      <c r="G34" s="25"/>
      <c r="H34" s="20"/>
      <c r="I34" s="31"/>
      <c r="J34" s="20"/>
      <c r="K34" s="28"/>
      <c r="M34" s="29"/>
      <c r="N34" s="27"/>
      <c r="O34" s="32"/>
    </row>
    <row r="35" spans="1:15" x14ac:dyDescent="0.25">
      <c r="A35" s="3"/>
      <c r="B35" s="3"/>
      <c r="C35" s="18"/>
      <c r="D35" s="18" t="s">
        <v>33</v>
      </c>
      <c r="E35" s="24">
        <v>236.5</v>
      </c>
      <c r="F35" s="20"/>
      <c r="G35" s="25">
        <v>1000.5</v>
      </c>
      <c r="H35" s="20"/>
      <c r="I35" s="31">
        <v>1400</v>
      </c>
      <c r="J35" s="20"/>
      <c r="K35" s="28">
        <f t="shared" si="1"/>
        <v>-399.5</v>
      </c>
      <c r="M35" s="29">
        <f t="shared" si="2"/>
        <v>1400</v>
      </c>
      <c r="N35" s="27">
        <f t="shared" si="3"/>
        <v>1000.5</v>
      </c>
      <c r="O35" s="32">
        <v>1400</v>
      </c>
    </row>
    <row r="36" spans="1:15" x14ac:dyDescent="0.25">
      <c r="A36" s="3"/>
      <c r="B36" s="3"/>
      <c r="C36" s="18"/>
      <c r="D36" s="18" t="s">
        <v>34</v>
      </c>
      <c r="E36" s="24">
        <v>540</v>
      </c>
      <c r="F36" s="20"/>
      <c r="G36" s="25">
        <f t="shared" si="0"/>
        <v>720</v>
      </c>
      <c r="H36" s="20"/>
      <c r="I36" s="31">
        <v>0</v>
      </c>
      <c r="J36" s="20"/>
      <c r="K36" s="28">
        <f t="shared" si="1"/>
        <v>720</v>
      </c>
      <c r="M36" s="29">
        <f t="shared" si="2"/>
        <v>0</v>
      </c>
      <c r="N36" s="27">
        <f t="shared" si="3"/>
        <v>720</v>
      </c>
      <c r="O36" s="32">
        <v>0</v>
      </c>
    </row>
    <row r="37" spans="1:15" x14ac:dyDescent="0.25">
      <c r="A37" s="3"/>
      <c r="B37" s="3"/>
      <c r="C37" s="18"/>
      <c r="D37" s="18" t="s">
        <v>35</v>
      </c>
      <c r="E37" s="24">
        <v>0</v>
      </c>
      <c r="F37" s="20"/>
      <c r="G37" s="25">
        <f t="shared" si="0"/>
        <v>0</v>
      </c>
      <c r="H37" s="20"/>
      <c r="I37" s="31">
        <v>0</v>
      </c>
      <c r="J37" s="20"/>
      <c r="K37" s="28">
        <f t="shared" si="1"/>
        <v>0</v>
      </c>
      <c r="M37" s="29">
        <f t="shared" si="2"/>
        <v>0</v>
      </c>
      <c r="N37" s="27">
        <f t="shared" si="3"/>
        <v>0</v>
      </c>
      <c r="O37" s="32">
        <v>0</v>
      </c>
    </row>
    <row r="38" spans="1:15" x14ac:dyDescent="0.25">
      <c r="A38" s="3"/>
      <c r="B38" s="3"/>
      <c r="C38" s="18"/>
      <c r="D38" s="18" t="s">
        <v>36</v>
      </c>
      <c r="E38" s="24">
        <v>377.65</v>
      </c>
      <c r="F38" s="20"/>
      <c r="G38" s="25">
        <v>511.4</v>
      </c>
      <c r="H38" s="20"/>
      <c r="I38" s="31">
        <v>600</v>
      </c>
      <c r="J38" s="20"/>
      <c r="K38" s="28">
        <f t="shared" si="1"/>
        <v>-88.600000000000023</v>
      </c>
      <c r="M38" s="29">
        <f t="shared" si="2"/>
        <v>600</v>
      </c>
      <c r="N38" s="27">
        <f t="shared" si="3"/>
        <v>511.4</v>
      </c>
      <c r="O38" s="32">
        <v>600</v>
      </c>
    </row>
    <row r="39" spans="1:15" x14ac:dyDescent="0.25">
      <c r="A39" s="3"/>
      <c r="B39" s="3"/>
      <c r="C39" s="18"/>
      <c r="D39" s="18" t="s">
        <v>37</v>
      </c>
      <c r="E39" s="24">
        <v>507.62</v>
      </c>
      <c r="F39" s="20"/>
      <c r="G39" s="25">
        <v>528</v>
      </c>
      <c r="H39" s="20"/>
      <c r="I39" s="31">
        <v>300</v>
      </c>
      <c r="J39" s="20"/>
      <c r="K39" s="28">
        <f t="shared" si="1"/>
        <v>228</v>
      </c>
      <c r="M39" s="29">
        <f t="shared" si="2"/>
        <v>300</v>
      </c>
      <c r="N39" s="27">
        <f t="shared" si="3"/>
        <v>528</v>
      </c>
      <c r="O39" s="32">
        <v>300</v>
      </c>
    </row>
    <row r="40" spans="1:15" x14ac:dyDescent="0.25">
      <c r="A40" s="3"/>
      <c r="B40" s="3"/>
      <c r="C40" s="18"/>
      <c r="D40" s="18" t="s">
        <v>38</v>
      </c>
      <c r="E40" s="24">
        <v>125000</v>
      </c>
      <c r="F40" s="20"/>
      <c r="G40" s="25">
        <f>48000+125000</f>
        <v>173000</v>
      </c>
      <c r="H40" s="20"/>
      <c r="I40" s="31">
        <v>208000</v>
      </c>
      <c r="J40" s="20"/>
      <c r="K40" s="28">
        <f t="shared" si="1"/>
        <v>-35000</v>
      </c>
      <c r="M40" s="29">
        <f t="shared" si="2"/>
        <v>208000</v>
      </c>
      <c r="N40" s="27">
        <f t="shared" si="3"/>
        <v>173000</v>
      </c>
      <c r="O40" s="32">
        <f>27000*4*2+6000</f>
        <v>222000</v>
      </c>
    </row>
    <row r="41" spans="1:15" x14ac:dyDescent="0.25">
      <c r="A41" s="3"/>
      <c r="B41" s="3"/>
      <c r="C41" s="18"/>
      <c r="D41" s="18" t="s">
        <v>39</v>
      </c>
      <c r="E41" s="24">
        <v>0</v>
      </c>
      <c r="F41" s="20"/>
      <c r="G41" s="25">
        <f t="shared" si="0"/>
        <v>0</v>
      </c>
      <c r="H41" s="20"/>
      <c r="I41" s="31">
        <v>0</v>
      </c>
      <c r="J41" s="20"/>
      <c r="K41" s="28">
        <f t="shared" si="1"/>
        <v>0</v>
      </c>
      <c r="M41" s="29">
        <f t="shared" si="2"/>
        <v>0</v>
      </c>
      <c r="N41" s="27">
        <f t="shared" si="3"/>
        <v>0</v>
      </c>
      <c r="O41" s="32">
        <v>0</v>
      </c>
    </row>
    <row r="42" spans="1:15" x14ac:dyDescent="0.25">
      <c r="A42" s="3"/>
      <c r="B42" s="3"/>
      <c r="C42" s="18"/>
      <c r="D42" s="18" t="s">
        <v>40</v>
      </c>
      <c r="E42" s="24">
        <v>0</v>
      </c>
      <c r="F42" s="20"/>
      <c r="G42" s="25">
        <f t="shared" si="0"/>
        <v>0</v>
      </c>
      <c r="H42" s="20"/>
      <c r="I42" s="31">
        <v>0</v>
      </c>
      <c r="J42" s="20"/>
      <c r="K42" s="28">
        <f t="shared" si="1"/>
        <v>0</v>
      </c>
      <c r="M42" s="29">
        <f t="shared" si="2"/>
        <v>0</v>
      </c>
      <c r="N42" s="27">
        <f t="shared" si="3"/>
        <v>0</v>
      </c>
      <c r="O42" s="32">
        <v>0</v>
      </c>
    </row>
    <row r="43" spans="1:15" x14ac:dyDescent="0.25">
      <c r="A43" s="3"/>
      <c r="B43" s="3"/>
      <c r="C43" s="18"/>
      <c r="D43" s="18"/>
      <c r="E43" s="24"/>
      <c r="F43" s="20"/>
      <c r="G43" s="25"/>
      <c r="H43" s="20"/>
      <c r="I43" s="31"/>
      <c r="J43" s="20"/>
      <c r="K43" s="28"/>
      <c r="M43" s="29"/>
      <c r="N43" s="27"/>
      <c r="O43" s="32"/>
    </row>
    <row r="44" spans="1:15" x14ac:dyDescent="0.25">
      <c r="A44" s="3"/>
      <c r="B44" s="3"/>
      <c r="C44" s="18" t="s">
        <v>41</v>
      </c>
      <c r="D44" s="18"/>
      <c r="E44" s="24"/>
      <c r="F44" s="20"/>
      <c r="G44" s="25"/>
      <c r="H44" s="20"/>
      <c r="I44" s="31"/>
      <c r="J44" s="20"/>
      <c r="K44" s="28"/>
      <c r="M44" s="29"/>
      <c r="N44" s="27"/>
      <c r="O44" s="32"/>
    </row>
    <row r="45" spans="1:15" x14ac:dyDescent="0.25">
      <c r="A45" s="3"/>
      <c r="B45" s="3"/>
      <c r="C45" s="18"/>
      <c r="D45" s="18" t="s">
        <v>42</v>
      </c>
      <c r="E45" s="24">
        <v>305.45999999999998</v>
      </c>
      <c r="F45" s="20"/>
      <c r="G45" s="25">
        <v>305.45999999999998</v>
      </c>
      <c r="H45" s="20"/>
      <c r="I45" s="31">
        <v>0</v>
      </c>
      <c r="J45" s="20"/>
      <c r="K45" s="28">
        <f t="shared" si="1"/>
        <v>305.45999999999998</v>
      </c>
      <c r="M45" s="29">
        <f t="shared" si="2"/>
        <v>0</v>
      </c>
      <c r="N45" s="27">
        <f t="shared" si="3"/>
        <v>305.45999999999998</v>
      </c>
      <c r="O45" s="32">
        <v>0</v>
      </c>
    </row>
    <row r="46" spans="1:15" x14ac:dyDescent="0.25">
      <c r="A46" s="3"/>
      <c r="B46" s="3"/>
      <c r="C46" s="18"/>
      <c r="D46" s="18" t="s">
        <v>43</v>
      </c>
      <c r="E46" s="24">
        <v>0</v>
      </c>
      <c r="F46" s="20"/>
      <c r="G46" s="25">
        <f t="shared" si="0"/>
        <v>0</v>
      </c>
      <c r="H46" s="20"/>
      <c r="I46" s="31">
        <v>0</v>
      </c>
      <c r="J46" s="20"/>
      <c r="K46" s="28">
        <f t="shared" si="1"/>
        <v>0</v>
      </c>
      <c r="M46" s="29">
        <f t="shared" si="2"/>
        <v>0</v>
      </c>
      <c r="N46" s="27">
        <f t="shared" si="3"/>
        <v>0</v>
      </c>
      <c r="O46" s="32">
        <v>0</v>
      </c>
    </row>
    <row r="47" spans="1:15" x14ac:dyDescent="0.25">
      <c r="A47" s="3"/>
      <c r="B47" s="3"/>
      <c r="C47" s="18"/>
      <c r="D47" s="18" t="s">
        <v>44</v>
      </c>
      <c r="E47" s="24">
        <v>1000</v>
      </c>
      <c r="F47" s="20"/>
      <c r="G47" s="25">
        <v>1000</v>
      </c>
      <c r="H47" s="20"/>
      <c r="I47" s="31">
        <v>0</v>
      </c>
      <c r="J47" s="20"/>
      <c r="K47" s="28">
        <f t="shared" si="1"/>
        <v>1000</v>
      </c>
      <c r="M47" s="29">
        <f t="shared" si="2"/>
        <v>0</v>
      </c>
      <c r="N47" s="27">
        <f t="shared" si="3"/>
        <v>1000</v>
      </c>
      <c r="O47" s="32"/>
    </row>
    <row r="48" spans="1:15" x14ac:dyDescent="0.25">
      <c r="A48" s="3"/>
      <c r="B48" s="3"/>
      <c r="C48" s="18"/>
      <c r="D48" s="18" t="s">
        <v>45</v>
      </c>
      <c r="E48" s="24">
        <v>0</v>
      </c>
      <c r="F48" s="20"/>
      <c r="G48" s="25">
        <f t="shared" si="0"/>
        <v>0</v>
      </c>
      <c r="H48" s="20"/>
      <c r="I48" s="31">
        <v>0</v>
      </c>
      <c r="J48" s="20"/>
      <c r="K48" s="28">
        <f t="shared" si="1"/>
        <v>0</v>
      </c>
      <c r="M48" s="29">
        <f t="shared" si="2"/>
        <v>0</v>
      </c>
      <c r="N48" s="27">
        <f t="shared" si="3"/>
        <v>0</v>
      </c>
      <c r="O48" s="32">
        <v>0</v>
      </c>
    </row>
    <row r="49" spans="1:16" x14ac:dyDescent="0.25">
      <c r="A49" s="3"/>
      <c r="B49" s="3"/>
      <c r="C49" s="18"/>
      <c r="D49" s="18" t="s">
        <v>46</v>
      </c>
      <c r="E49" s="24">
        <v>5888.19</v>
      </c>
      <c r="F49" s="20"/>
      <c r="G49" s="25">
        <v>5888.19</v>
      </c>
      <c r="H49" s="20"/>
      <c r="I49" s="31">
        <v>6000</v>
      </c>
      <c r="J49" s="20"/>
      <c r="K49" s="28">
        <f t="shared" si="1"/>
        <v>-111.8100000000004</v>
      </c>
      <c r="M49" s="29">
        <f t="shared" si="2"/>
        <v>6000</v>
      </c>
      <c r="N49" s="27">
        <f t="shared" si="3"/>
        <v>5888.19</v>
      </c>
      <c r="O49" s="32">
        <v>0</v>
      </c>
    </row>
    <row r="50" spans="1:16" x14ac:dyDescent="0.25">
      <c r="A50" s="3"/>
      <c r="B50" s="3"/>
      <c r="C50" s="18"/>
      <c r="D50" s="18"/>
      <c r="E50" s="24"/>
      <c r="F50" s="20"/>
      <c r="G50" s="25"/>
      <c r="H50" s="20"/>
      <c r="I50" s="31"/>
      <c r="J50" s="20"/>
      <c r="K50" s="28"/>
      <c r="M50" s="29"/>
      <c r="N50" s="27"/>
      <c r="O50" s="32"/>
    </row>
    <row r="51" spans="1:16" x14ac:dyDescent="0.25">
      <c r="A51" s="3"/>
      <c r="B51" s="3"/>
      <c r="C51" s="18" t="s">
        <v>47</v>
      </c>
      <c r="D51" s="18"/>
      <c r="E51" s="24"/>
      <c r="F51" s="20"/>
      <c r="G51" s="25"/>
      <c r="H51" s="20"/>
      <c r="I51" s="31"/>
      <c r="J51" s="20"/>
      <c r="K51" s="28"/>
      <c r="M51" s="29"/>
      <c r="N51" s="27"/>
      <c r="O51" s="32"/>
    </row>
    <row r="52" spans="1:16" x14ac:dyDescent="0.25">
      <c r="A52" s="3"/>
      <c r="B52" s="3"/>
      <c r="C52" s="18"/>
      <c r="D52" s="18" t="s">
        <v>48</v>
      </c>
      <c r="E52" s="24"/>
      <c r="F52" s="20"/>
      <c r="G52" s="25">
        <f t="shared" si="0"/>
        <v>0</v>
      </c>
      <c r="H52" s="20"/>
      <c r="I52" s="31"/>
      <c r="J52" s="20"/>
      <c r="K52" s="28">
        <f t="shared" si="1"/>
        <v>0</v>
      </c>
      <c r="M52" s="29">
        <f t="shared" si="2"/>
        <v>0</v>
      </c>
      <c r="N52" s="27">
        <f t="shared" si="3"/>
        <v>0</v>
      </c>
      <c r="O52" s="32"/>
    </row>
    <row r="53" spans="1:16" x14ac:dyDescent="0.25">
      <c r="A53" s="3"/>
      <c r="B53" s="3"/>
      <c r="C53" s="18"/>
      <c r="D53" s="18" t="s">
        <v>49</v>
      </c>
      <c r="E53" s="24">
        <v>0</v>
      </c>
      <c r="F53" s="20"/>
      <c r="G53" s="25">
        <f t="shared" si="0"/>
        <v>0</v>
      </c>
      <c r="H53" s="20"/>
      <c r="I53" s="31">
        <v>0</v>
      </c>
      <c r="J53" s="20"/>
      <c r="K53" s="28">
        <f t="shared" si="1"/>
        <v>0</v>
      </c>
      <c r="M53" s="29">
        <f t="shared" si="2"/>
        <v>0</v>
      </c>
      <c r="N53" s="27">
        <f t="shared" si="3"/>
        <v>0</v>
      </c>
      <c r="O53" s="32">
        <v>0</v>
      </c>
    </row>
    <row r="54" spans="1:16" x14ac:dyDescent="0.25">
      <c r="A54" s="3"/>
      <c r="B54" s="3"/>
      <c r="C54" s="18"/>
      <c r="D54" s="18"/>
      <c r="E54" s="24"/>
      <c r="F54" s="20"/>
      <c r="G54" s="25"/>
      <c r="H54" s="20"/>
      <c r="I54" s="31"/>
      <c r="J54" s="20"/>
      <c r="K54" s="28"/>
      <c r="M54" s="29"/>
      <c r="N54" s="27"/>
      <c r="O54" s="32"/>
    </row>
    <row r="55" spans="1:16" x14ac:dyDescent="0.25">
      <c r="A55" s="3"/>
      <c r="B55" s="3"/>
      <c r="C55" s="18"/>
      <c r="D55" s="18" t="s">
        <v>50</v>
      </c>
      <c r="E55" s="24"/>
      <c r="F55" s="20"/>
      <c r="G55" s="25"/>
      <c r="H55" s="20"/>
      <c r="I55" s="31"/>
      <c r="J55" s="20"/>
      <c r="K55" s="28"/>
      <c r="M55" s="29"/>
      <c r="N55" s="27"/>
      <c r="O55" s="32"/>
    </row>
    <row r="56" spans="1:16" x14ac:dyDescent="0.25">
      <c r="A56" s="3"/>
      <c r="B56" s="3"/>
      <c r="C56" s="18"/>
      <c r="D56" s="18" t="s">
        <v>51</v>
      </c>
      <c r="E56" s="24">
        <v>0</v>
      </c>
      <c r="F56" s="20"/>
      <c r="G56" s="25">
        <f t="shared" si="0"/>
        <v>0</v>
      </c>
      <c r="H56" s="20"/>
      <c r="I56" s="31">
        <v>0</v>
      </c>
      <c r="J56" s="20"/>
      <c r="K56" s="28">
        <f t="shared" si="1"/>
        <v>0</v>
      </c>
      <c r="M56" s="29">
        <f t="shared" si="2"/>
        <v>0</v>
      </c>
      <c r="N56" s="27">
        <f t="shared" si="3"/>
        <v>0</v>
      </c>
      <c r="O56" s="32">
        <v>0</v>
      </c>
    </row>
    <row r="57" spans="1:16" x14ac:dyDescent="0.25">
      <c r="A57" s="3"/>
      <c r="B57" s="3"/>
      <c r="C57" s="18"/>
      <c r="D57" s="18" t="s">
        <v>52</v>
      </c>
      <c r="E57" s="24">
        <v>0</v>
      </c>
      <c r="F57" s="20"/>
      <c r="G57" s="25">
        <f t="shared" si="0"/>
        <v>0</v>
      </c>
      <c r="H57" s="20"/>
      <c r="I57" s="31">
        <v>0</v>
      </c>
      <c r="J57" s="20"/>
      <c r="K57" s="28">
        <f t="shared" si="1"/>
        <v>0</v>
      </c>
      <c r="M57" s="29">
        <f t="shared" si="2"/>
        <v>0</v>
      </c>
      <c r="N57" s="27">
        <f t="shared" si="3"/>
        <v>0</v>
      </c>
      <c r="O57" s="32">
        <v>0</v>
      </c>
    </row>
    <row r="58" spans="1:16" x14ac:dyDescent="0.25">
      <c r="A58" s="3"/>
      <c r="B58" s="3"/>
      <c r="C58" s="18"/>
      <c r="D58" s="18" t="s">
        <v>53</v>
      </c>
      <c r="E58" s="24">
        <v>0</v>
      </c>
      <c r="F58" s="20"/>
      <c r="G58" s="25">
        <f t="shared" si="0"/>
        <v>0</v>
      </c>
      <c r="H58" s="20"/>
      <c r="I58" s="31">
        <v>0</v>
      </c>
      <c r="J58" s="20"/>
      <c r="K58" s="28">
        <f t="shared" si="1"/>
        <v>0</v>
      </c>
      <c r="M58" s="29">
        <f t="shared" si="2"/>
        <v>0</v>
      </c>
      <c r="N58" s="27">
        <f t="shared" si="3"/>
        <v>0</v>
      </c>
      <c r="O58" s="32">
        <v>0</v>
      </c>
    </row>
    <row r="59" spans="1:16" x14ac:dyDescent="0.25">
      <c r="A59" s="3"/>
      <c r="B59" s="3"/>
      <c r="C59" s="18"/>
      <c r="D59" s="18" t="s">
        <v>54</v>
      </c>
      <c r="E59" s="24">
        <v>1545.72</v>
      </c>
      <c r="F59" s="20"/>
      <c r="G59" s="25">
        <f t="shared" si="0"/>
        <v>2061</v>
      </c>
      <c r="H59" s="20"/>
      <c r="I59" s="31">
        <v>1500</v>
      </c>
      <c r="J59" s="20"/>
      <c r="K59" s="28">
        <f t="shared" si="1"/>
        <v>561</v>
      </c>
      <c r="M59" s="29">
        <f t="shared" si="2"/>
        <v>1500</v>
      </c>
      <c r="N59" s="27">
        <f t="shared" si="3"/>
        <v>2061</v>
      </c>
      <c r="O59" s="32">
        <v>1500</v>
      </c>
    </row>
    <row r="60" spans="1:16" x14ac:dyDescent="0.25">
      <c r="A60" s="3"/>
      <c r="B60" s="3"/>
      <c r="C60" s="18"/>
      <c r="D60" s="18" t="s">
        <v>55</v>
      </c>
      <c r="E60" s="24">
        <v>144.59</v>
      </c>
      <c r="F60" s="20"/>
      <c r="G60" s="25">
        <f t="shared" si="0"/>
        <v>193</v>
      </c>
      <c r="H60" s="20"/>
      <c r="I60" s="31">
        <v>300</v>
      </c>
      <c r="J60" s="20"/>
      <c r="K60" s="28">
        <f t="shared" si="1"/>
        <v>-107</v>
      </c>
      <c r="M60" s="29">
        <f t="shared" si="2"/>
        <v>300</v>
      </c>
      <c r="N60" s="27">
        <f t="shared" si="3"/>
        <v>193</v>
      </c>
      <c r="O60" s="32">
        <v>150</v>
      </c>
    </row>
    <row r="61" spans="1:16" x14ac:dyDescent="0.25">
      <c r="A61" s="3"/>
      <c r="B61" s="3"/>
      <c r="C61" s="18"/>
      <c r="D61" s="18"/>
      <c r="E61" s="24"/>
      <c r="F61" s="20"/>
      <c r="G61" s="25"/>
      <c r="H61" s="20"/>
      <c r="I61" s="31"/>
      <c r="J61" s="20"/>
      <c r="K61" s="28"/>
      <c r="M61" s="29"/>
      <c r="N61" s="27"/>
      <c r="O61" s="32"/>
    </row>
    <row r="62" spans="1:16" x14ac:dyDescent="0.25">
      <c r="A62" s="3"/>
      <c r="B62" s="3"/>
      <c r="C62" s="18" t="s">
        <v>56</v>
      </c>
      <c r="D62" s="18"/>
      <c r="E62" s="24"/>
      <c r="F62" s="20"/>
      <c r="G62" s="25"/>
      <c r="H62" s="20"/>
      <c r="I62" s="31"/>
      <c r="J62" s="20"/>
      <c r="K62" s="28"/>
      <c r="M62" s="29"/>
      <c r="N62" s="27"/>
      <c r="O62" s="32"/>
    </row>
    <row r="63" spans="1:16" x14ac:dyDescent="0.25">
      <c r="A63" s="3"/>
      <c r="B63" s="3"/>
      <c r="C63" s="18"/>
      <c r="D63" s="18" t="s">
        <v>57</v>
      </c>
      <c r="E63" s="24">
        <v>208400.01</v>
      </c>
      <c r="F63" s="20"/>
      <c r="G63" s="25">
        <f>214249+15000</f>
        <v>229249</v>
      </c>
      <c r="H63" s="20"/>
      <c r="I63" s="31">
        <v>211455</v>
      </c>
      <c r="J63" s="20"/>
      <c r="K63" s="28">
        <f t="shared" si="1"/>
        <v>17794</v>
      </c>
      <c r="M63" s="29">
        <f t="shared" si="2"/>
        <v>211455</v>
      </c>
      <c r="N63" s="27">
        <f t="shared" si="3"/>
        <v>229249</v>
      </c>
      <c r="O63" s="32">
        <v>192754</v>
      </c>
      <c r="P63" s="33" t="s">
        <v>58</v>
      </c>
    </row>
    <row r="64" spans="1:16" x14ac:dyDescent="0.25">
      <c r="A64" s="3"/>
      <c r="B64" s="3"/>
      <c r="C64" s="18"/>
      <c r="D64" s="18" t="s">
        <v>59</v>
      </c>
      <c r="E64" s="24">
        <v>0</v>
      </c>
      <c r="F64" s="20"/>
      <c r="G64" s="34">
        <v>38946.6</v>
      </c>
      <c r="H64" s="20"/>
      <c r="I64" s="31">
        <v>38946.6</v>
      </c>
      <c r="J64" s="20"/>
      <c r="K64" s="28">
        <f t="shared" si="1"/>
        <v>0</v>
      </c>
      <c r="M64" s="29">
        <f t="shared" si="2"/>
        <v>38946.6</v>
      </c>
      <c r="N64" s="27">
        <f t="shared" si="3"/>
        <v>38946.6</v>
      </c>
      <c r="O64" s="32">
        <v>38946.6</v>
      </c>
    </row>
    <row r="65" spans="1:16" x14ac:dyDescent="0.25">
      <c r="A65" s="3"/>
      <c r="B65" s="3"/>
      <c r="C65" s="18"/>
      <c r="D65" s="18"/>
      <c r="E65" s="24"/>
      <c r="F65" s="20"/>
      <c r="G65" s="25"/>
      <c r="H65" s="20"/>
      <c r="I65" s="31"/>
      <c r="J65" s="20"/>
      <c r="K65" s="28"/>
      <c r="M65" s="29"/>
      <c r="N65" s="27"/>
      <c r="O65" s="32"/>
    </row>
    <row r="66" spans="1:16" x14ac:dyDescent="0.25">
      <c r="A66" s="3"/>
      <c r="B66" s="3"/>
      <c r="C66" s="18" t="s">
        <v>60</v>
      </c>
      <c r="D66" s="18"/>
      <c r="E66" s="24"/>
      <c r="F66" s="20"/>
      <c r="G66" s="25"/>
      <c r="H66" s="20"/>
      <c r="I66" s="31"/>
      <c r="J66" s="20"/>
      <c r="K66" s="28"/>
      <c r="M66" s="29"/>
      <c r="N66" s="27"/>
      <c r="O66" s="32"/>
    </row>
    <row r="67" spans="1:16" x14ac:dyDescent="0.25">
      <c r="A67" s="3"/>
      <c r="B67" s="3"/>
      <c r="C67" s="18"/>
      <c r="D67" s="18" t="s">
        <v>61</v>
      </c>
      <c r="E67" s="24">
        <v>55854.64</v>
      </c>
      <c r="F67" s="20"/>
      <c r="G67" s="25">
        <f t="shared" si="0"/>
        <v>74473</v>
      </c>
      <c r="H67" s="20"/>
      <c r="I67" s="31">
        <v>56399</v>
      </c>
      <c r="J67" s="20"/>
      <c r="K67" s="28">
        <f t="shared" si="1"/>
        <v>18074</v>
      </c>
      <c r="M67" s="29">
        <f t="shared" si="2"/>
        <v>56399</v>
      </c>
      <c r="N67" s="27">
        <f t="shared" si="3"/>
        <v>74473</v>
      </c>
      <c r="O67" s="32">
        <v>76866</v>
      </c>
      <c r="P67" s="33" t="s">
        <v>58</v>
      </c>
    </row>
    <row r="68" spans="1:16" x14ac:dyDescent="0.25">
      <c r="A68" s="3"/>
      <c r="B68" s="3"/>
      <c r="C68" s="18"/>
      <c r="D68" s="18" t="s">
        <v>62</v>
      </c>
      <c r="E68" s="24">
        <v>22630.97</v>
      </c>
      <c r="F68" s="20"/>
      <c r="G68" s="25">
        <f t="shared" si="0"/>
        <v>30175</v>
      </c>
      <c r="H68" s="20"/>
      <c r="I68" s="31">
        <v>23700</v>
      </c>
      <c r="J68" s="20"/>
      <c r="K68" s="28">
        <f t="shared" si="1"/>
        <v>6475</v>
      </c>
      <c r="M68" s="29">
        <f t="shared" si="2"/>
        <v>23700</v>
      </c>
      <c r="N68" s="27">
        <f t="shared" si="3"/>
        <v>30175</v>
      </c>
      <c r="O68" s="32">
        <v>29664</v>
      </c>
      <c r="P68" s="33" t="s">
        <v>58</v>
      </c>
    </row>
    <row r="69" spans="1:16" x14ac:dyDescent="0.25">
      <c r="A69" s="3"/>
      <c r="B69" s="3"/>
      <c r="C69" s="18"/>
      <c r="D69" s="18" t="s">
        <v>63</v>
      </c>
      <c r="E69" s="24">
        <v>36203.199999999997</v>
      </c>
      <c r="F69" s="20"/>
      <c r="G69" s="25">
        <f t="shared" si="0"/>
        <v>48271</v>
      </c>
      <c r="H69" s="20"/>
      <c r="I69" s="31">
        <v>45101</v>
      </c>
      <c r="J69" s="20"/>
      <c r="K69" s="28">
        <f t="shared" si="1"/>
        <v>3170</v>
      </c>
      <c r="M69" s="29">
        <f t="shared" si="2"/>
        <v>45101</v>
      </c>
      <c r="N69" s="27">
        <f t="shared" si="3"/>
        <v>48271</v>
      </c>
      <c r="O69" s="32">
        <v>44917</v>
      </c>
      <c r="P69" s="33" t="s">
        <v>58</v>
      </c>
    </row>
    <row r="70" spans="1:16" x14ac:dyDescent="0.25">
      <c r="A70" s="3"/>
      <c r="B70" s="3"/>
      <c r="C70" s="18"/>
      <c r="D70" s="18" t="s">
        <v>64</v>
      </c>
      <c r="E70" s="24">
        <v>20489.580000000002</v>
      </c>
      <c r="F70" s="20"/>
      <c r="G70" s="25">
        <f t="shared" ref="G70:G94" si="4">ROUND(E70/9*12,0)</f>
        <v>27319</v>
      </c>
      <c r="H70" s="20"/>
      <c r="I70" s="31">
        <v>33091</v>
      </c>
      <c r="J70" s="20"/>
      <c r="K70" s="28">
        <f t="shared" ref="K70:K97" si="5">+G70-I70</f>
        <v>-5772</v>
      </c>
      <c r="M70" s="29">
        <f t="shared" ref="M70:M97" si="6">+I70</f>
        <v>33091</v>
      </c>
      <c r="N70" s="27">
        <f t="shared" ref="N70:N97" si="7">+G70</f>
        <v>27319</v>
      </c>
      <c r="O70" s="32">
        <v>35739</v>
      </c>
      <c r="P70" s="33" t="s">
        <v>58</v>
      </c>
    </row>
    <row r="71" spans="1:16" x14ac:dyDescent="0.25">
      <c r="A71" s="3"/>
      <c r="B71" s="3"/>
      <c r="C71" s="18"/>
      <c r="D71" s="18"/>
      <c r="E71" s="24"/>
      <c r="F71" s="20"/>
      <c r="G71" s="25"/>
      <c r="H71" s="20"/>
      <c r="I71" s="31"/>
      <c r="J71" s="20"/>
      <c r="K71" s="28"/>
      <c r="M71" s="29"/>
      <c r="N71" s="27"/>
      <c r="O71" s="32"/>
    </row>
    <row r="72" spans="1:16" x14ac:dyDescent="0.25">
      <c r="A72" s="3"/>
      <c r="B72" s="3"/>
      <c r="C72" s="18" t="s">
        <v>65</v>
      </c>
      <c r="D72" s="18"/>
      <c r="E72" s="24"/>
      <c r="F72" s="20"/>
      <c r="G72" s="25"/>
      <c r="H72" s="20"/>
      <c r="I72" s="31"/>
      <c r="J72" s="20"/>
      <c r="K72" s="28"/>
      <c r="M72" s="29"/>
      <c r="N72" s="27"/>
      <c r="O72" s="32"/>
    </row>
    <row r="73" spans="1:16" x14ac:dyDescent="0.25">
      <c r="A73" s="3"/>
      <c r="B73" s="3"/>
      <c r="C73" s="18"/>
      <c r="D73" s="18" t="s">
        <v>66</v>
      </c>
      <c r="E73" s="24">
        <v>0</v>
      </c>
      <c r="F73" s="20"/>
      <c r="G73" s="25">
        <f t="shared" si="4"/>
        <v>0</v>
      </c>
      <c r="H73" s="20"/>
      <c r="I73" s="31"/>
      <c r="J73" s="20"/>
      <c r="K73" s="28">
        <f t="shared" si="5"/>
        <v>0</v>
      </c>
      <c r="M73" s="29">
        <f t="shared" si="6"/>
        <v>0</v>
      </c>
      <c r="N73" s="27">
        <f t="shared" si="7"/>
        <v>0</v>
      </c>
      <c r="O73" s="32"/>
    </row>
    <row r="74" spans="1:16" x14ac:dyDescent="0.25">
      <c r="A74" s="3"/>
      <c r="B74" s="3"/>
      <c r="C74" s="18"/>
      <c r="D74" s="18" t="s">
        <v>67</v>
      </c>
      <c r="E74" s="24">
        <v>0</v>
      </c>
      <c r="F74" s="20"/>
      <c r="G74" s="25">
        <f t="shared" si="4"/>
        <v>0</v>
      </c>
      <c r="H74" s="20"/>
      <c r="I74" s="31">
        <v>0</v>
      </c>
      <c r="J74" s="20"/>
      <c r="K74" s="28">
        <f t="shared" si="5"/>
        <v>0</v>
      </c>
      <c r="M74" s="29">
        <f t="shared" si="6"/>
        <v>0</v>
      </c>
      <c r="N74" s="27">
        <f t="shared" si="7"/>
        <v>0</v>
      </c>
      <c r="O74" s="32">
        <v>0</v>
      </c>
    </row>
    <row r="75" spans="1:16" x14ac:dyDescent="0.25">
      <c r="A75" s="3"/>
      <c r="B75" s="3"/>
      <c r="C75" s="18"/>
      <c r="D75" s="18" t="s">
        <v>68</v>
      </c>
      <c r="E75" s="24">
        <v>0</v>
      </c>
      <c r="F75" s="20"/>
      <c r="G75" s="25">
        <f t="shared" si="4"/>
        <v>0</v>
      </c>
      <c r="H75" s="20"/>
      <c r="I75" s="31">
        <v>0</v>
      </c>
      <c r="J75" s="20"/>
      <c r="K75" s="28">
        <f t="shared" si="5"/>
        <v>0</v>
      </c>
      <c r="M75" s="29">
        <f t="shared" si="6"/>
        <v>0</v>
      </c>
      <c r="N75" s="27">
        <f t="shared" si="7"/>
        <v>0</v>
      </c>
      <c r="O75" s="32">
        <v>0</v>
      </c>
    </row>
    <row r="76" spans="1:16" x14ac:dyDescent="0.25">
      <c r="A76" s="3"/>
      <c r="B76" s="3"/>
      <c r="C76" s="18"/>
      <c r="D76" s="18" t="s">
        <v>69</v>
      </c>
      <c r="E76" s="24">
        <v>0</v>
      </c>
      <c r="F76" s="20"/>
      <c r="G76" s="25">
        <f t="shared" si="4"/>
        <v>0</v>
      </c>
      <c r="H76" s="20"/>
      <c r="I76" s="31">
        <v>0</v>
      </c>
      <c r="J76" s="20"/>
      <c r="K76" s="28">
        <f t="shared" si="5"/>
        <v>0</v>
      </c>
      <c r="M76" s="29">
        <f t="shared" si="6"/>
        <v>0</v>
      </c>
      <c r="N76" s="27">
        <f t="shared" si="7"/>
        <v>0</v>
      </c>
      <c r="O76" s="32">
        <v>0</v>
      </c>
    </row>
    <row r="77" spans="1:16" x14ac:dyDescent="0.25">
      <c r="A77" s="3"/>
      <c r="B77" s="3"/>
      <c r="C77" s="18"/>
      <c r="D77" s="18" t="s">
        <v>70</v>
      </c>
      <c r="E77" s="24">
        <v>300</v>
      </c>
      <c r="F77" s="20"/>
      <c r="G77" s="25">
        <v>300</v>
      </c>
      <c r="H77" s="20"/>
      <c r="I77" s="31">
        <v>0</v>
      </c>
      <c r="J77" s="20"/>
      <c r="K77" s="28">
        <f t="shared" si="5"/>
        <v>300</v>
      </c>
      <c r="M77" s="29">
        <f t="shared" si="6"/>
        <v>0</v>
      </c>
      <c r="N77" s="27">
        <f t="shared" si="7"/>
        <v>300</v>
      </c>
      <c r="O77" s="32">
        <v>0</v>
      </c>
    </row>
    <row r="78" spans="1:16" x14ac:dyDescent="0.25">
      <c r="A78" s="3"/>
      <c r="B78" s="3"/>
      <c r="C78" s="18"/>
      <c r="D78" s="18" t="s">
        <v>71</v>
      </c>
      <c r="E78" s="24">
        <v>0</v>
      </c>
      <c r="F78" s="20"/>
      <c r="G78" s="25">
        <f t="shared" si="4"/>
        <v>0</v>
      </c>
      <c r="H78" s="20"/>
      <c r="I78" s="31">
        <v>0</v>
      </c>
      <c r="J78" s="20"/>
      <c r="K78" s="28">
        <f t="shared" si="5"/>
        <v>0</v>
      </c>
      <c r="M78" s="29">
        <f t="shared" si="6"/>
        <v>0</v>
      </c>
      <c r="N78" s="27">
        <f t="shared" si="7"/>
        <v>0</v>
      </c>
      <c r="O78" s="32">
        <v>0</v>
      </c>
    </row>
    <row r="79" spans="1:16" x14ac:dyDescent="0.25">
      <c r="A79" s="3"/>
      <c r="B79" s="3"/>
      <c r="C79" s="18"/>
      <c r="D79" s="18" t="s">
        <v>72</v>
      </c>
      <c r="E79" s="24">
        <v>0</v>
      </c>
      <c r="F79" s="20"/>
      <c r="G79" s="25">
        <f t="shared" si="4"/>
        <v>0</v>
      </c>
      <c r="H79" s="20"/>
      <c r="I79" s="31">
        <v>0</v>
      </c>
      <c r="J79" s="20"/>
      <c r="K79" s="28">
        <f t="shared" si="5"/>
        <v>0</v>
      </c>
      <c r="M79" s="29">
        <f t="shared" si="6"/>
        <v>0</v>
      </c>
      <c r="N79" s="27">
        <f t="shared" si="7"/>
        <v>0</v>
      </c>
      <c r="O79" s="32">
        <v>0</v>
      </c>
    </row>
    <row r="80" spans="1:16" x14ac:dyDescent="0.25">
      <c r="A80" s="3"/>
      <c r="B80" s="3"/>
      <c r="C80" s="18"/>
      <c r="D80" s="18" t="s">
        <v>73</v>
      </c>
      <c r="E80" s="24">
        <v>0</v>
      </c>
      <c r="F80" s="20"/>
      <c r="G80" s="25">
        <f t="shared" si="4"/>
        <v>0</v>
      </c>
      <c r="H80" s="20"/>
      <c r="I80" s="31">
        <v>0</v>
      </c>
      <c r="J80" s="20"/>
      <c r="K80" s="28">
        <f t="shared" si="5"/>
        <v>0</v>
      </c>
      <c r="M80" s="29">
        <f t="shared" si="6"/>
        <v>0</v>
      </c>
      <c r="N80" s="27">
        <f t="shared" si="7"/>
        <v>0</v>
      </c>
      <c r="O80" s="32">
        <v>0</v>
      </c>
    </row>
    <row r="81" spans="1:15" x14ac:dyDescent="0.25">
      <c r="A81" s="3"/>
      <c r="B81" s="3"/>
      <c r="C81" s="18"/>
      <c r="D81" s="18"/>
      <c r="E81" s="24"/>
      <c r="F81" s="20"/>
      <c r="G81" s="25"/>
      <c r="H81" s="20"/>
      <c r="I81" s="31"/>
      <c r="J81" s="20"/>
      <c r="K81" s="28"/>
      <c r="M81" s="29"/>
      <c r="N81" s="27"/>
      <c r="O81" s="32"/>
    </row>
    <row r="82" spans="1:15" x14ac:dyDescent="0.25">
      <c r="A82" s="3"/>
      <c r="B82" s="3"/>
      <c r="C82" s="18" t="s">
        <v>74</v>
      </c>
      <c r="D82" s="18"/>
      <c r="E82" s="24"/>
      <c r="F82" s="20"/>
      <c r="G82" s="25"/>
      <c r="H82" s="20"/>
      <c r="I82" s="31"/>
      <c r="J82" s="20"/>
      <c r="K82" s="28"/>
      <c r="M82" s="29"/>
      <c r="N82" s="27"/>
      <c r="O82" s="32"/>
    </row>
    <row r="83" spans="1:15" x14ac:dyDescent="0.25">
      <c r="A83" s="3"/>
      <c r="B83" s="3"/>
      <c r="C83" s="18"/>
      <c r="D83" s="18" t="s">
        <v>75</v>
      </c>
      <c r="E83" s="24">
        <v>19947.04</v>
      </c>
      <c r="F83" s="20"/>
      <c r="G83" s="25">
        <f>ROUND(E83/4*12,0)</f>
        <v>59841</v>
      </c>
      <c r="H83" s="20"/>
      <c r="I83" s="31">
        <v>73000</v>
      </c>
      <c r="J83" s="20"/>
      <c r="K83" s="28">
        <f t="shared" si="5"/>
        <v>-13159</v>
      </c>
      <c r="M83" s="29">
        <f t="shared" si="6"/>
        <v>73000</v>
      </c>
      <c r="N83" s="27">
        <f t="shared" si="7"/>
        <v>59841</v>
      </c>
      <c r="O83" s="32">
        <f>4600*12</f>
        <v>55200</v>
      </c>
    </row>
    <row r="84" spans="1:15" x14ac:dyDescent="0.25">
      <c r="A84" s="3"/>
      <c r="B84" s="3"/>
      <c r="C84" s="18"/>
      <c r="D84" s="18" t="s">
        <v>76</v>
      </c>
      <c r="E84" s="24">
        <v>1023.36</v>
      </c>
      <c r="F84" s="20"/>
      <c r="G84" s="25">
        <f t="shared" si="4"/>
        <v>1364</v>
      </c>
      <c r="H84" s="20"/>
      <c r="I84" s="31">
        <v>2500</v>
      </c>
      <c r="J84" s="20"/>
      <c r="K84" s="28">
        <f t="shared" si="5"/>
        <v>-1136</v>
      </c>
      <c r="M84" s="29">
        <f t="shared" si="6"/>
        <v>2500</v>
      </c>
      <c r="N84" s="27">
        <f t="shared" si="7"/>
        <v>1364</v>
      </c>
      <c r="O84" s="32">
        <v>1364</v>
      </c>
    </row>
    <row r="85" spans="1:15" x14ac:dyDescent="0.25">
      <c r="A85" s="3"/>
      <c r="B85" s="3"/>
      <c r="C85" s="18"/>
      <c r="D85" s="18" t="s">
        <v>77</v>
      </c>
      <c r="E85" s="24">
        <v>4286.88</v>
      </c>
      <c r="F85" s="20"/>
      <c r="G85" s="25">
        <f>ROUND(E85/5*12,0)</f>
        <v>10289</v>
      </c>
      <c r="H85" s="20"/>
      <c r="I85" s="31">
        <v>10000</v>
      </c>
      <c r="J85" s="20"/>
      <c r="K85" s="28">
        <f t="shared" si="5"/>
        <v>289</v>
      </c>
      <c r="M85" s="29">
        <f t="shared" si="6"/>
        <v>10000</v>
      </c>
      <c r="N85" s="27">
        <f t="shared" si="7"/>
        <v>10289</v>
      </c>
      <c r="O85" s="32">
        <v>10667</v>
      </c>
    </row>
    <row r="86" spans="1:15" x14ac:dyDescent="0.25">
      <c r="A86" s="3"/>
      <c r="B86" s="3"/>
      <c r="C86" s="18"/>
      <c r="D86" s="18"/>
      <c r="E86" s="24"/>
      <c r="F86" s="20"/>
      <c r="G86" s="25"/>
      <c r="H86" s="20"/>
      <c r="I86" s="31"/>
      <c r="J86" s="20"/>
      <c r="K86" s="28"/>
      <c r="M86" s="29"/>
      <c r="N86" s="27"/>
      <c r="O86" s="32"/>
    </row>
    <row r="87" spans="1:15" x14ac:dyDescent="0.25">
      <c r="A87" s="3"/>
      <c r="B87" s="3"/>
      <c r="C87" s="18" t="s">
        <v>78</v>
      </c>
      <c r="D87" s="18"/>
      <c r="E87" s="24"/>
      <c r="F87" s="20"/>
      <c r="G87" s="25"/>
      <c r="H87" s="20"/>
      <c r="I87" s="31"/>
      <c r="J87" s="20"/>
      <c r="K87" s="28"/>
      <c r="M87" s="29"/>
      <c r="N87" s="27"/>
      <c r="O87" s="32"/>
    </row>
    <row r="88" spans="1:15" x14ac:dyDescent="0.25">
      <c r="A88" s="3"/>
      <c r="B88" s="3"/>
      <c r="C88" s="18"/>
      <c r="D88" s="18" t="s">
        <v>79</v>
      </c>
      <c r="E88" s="24">
        <v>7000</v>
      </c>
      <c r="F88" s="20"/>
      <c r="G88" s="25">
        <v>14000</v>
      </c>
      <c r="H88" s="20"/>
      <c r="I88" s="31">
        <v>14000</v>
      </c>
      <c r="J88" s="20"/>
      <c r="K88" s="28">
        <f t="shared" si="5"/>
        <v>0</v>
      </c>
      <c r="M88" s="29">
        <f t="shared" si="6"/>
        <v>14000</v>
      </c>
      <c r="N88" s="27">
        <f t="shared" si="7"/>
        <v>14000</v>
      </c>
      <c r="O88" s="32">
        <v>14000</v>
      </c>
    </row>
    <row r="89" spans="1:15" x14ac:dyDescent="0.25">
      <c r="A89" s="3"/>
      <c r="B89" s="3"/>
      <c r="C89" s="18"/>
      <c r="D89" s="18"/>
      <c r="E89" s="24"/>
      <c r="F89" s="20"/>
      <c r="G89" s="25"/>
      <c r="H89" s="20"/>
      <c r="I89" s="31"/>
      <c r="J89" s="20"/>
      <c r="K89" s="28"/>
      <c r="M89" s="29"/>
      <c r="N89" s="27"/>
      <c r="O89" s="32"/>
    </row>
    <row r="90" spans="1:15" x14ac:dyDescent="0.25">
      <c r="A90" s="3"/>
      <c r="B90" s="3"/>
      <c r="C90" s="18" t="s">
        <v>80</v>
      </c>
      <c r="D90" s="18"/>
      <c r="E90" s="24">
        <v>0</v>
      </c>
      <c r="F90" s="20"/>
      <c r="G90" s="25">
        <f t="shared" si="4"/>
        <v>0</v>
      </c>
      <c r="H90" s="20"/>
      <c r="I90" s="31">
        <v>0</v>
      </c>
      <c r="J90" s="20"/>
      <c r="K90" s="28">
        <f t="shared" si="5"/>
        <v>0</v>
      </c>
      <c r="M90" s="29">
        <f t="shared" si="6"/>
        <v>0</v>
      </c>
      <c r="N90" s="27">
        <f t="shared" si="7"/>
        <v>0</v>
      </c>
      <c r="O90" s="32">
        <v>0</v>
      </c>
    </row>
    <row r="91" spans="1:15" x14ac:dyDescent="0.25">
      <c r="A91" s="3"/>
      <c r="B91" s="3"/>
      <c r="C91" s="18" t="s">
        <v>81</v>
      </c>
      <c r="D91" s="18"/>
      <c r="E91" s="24">
        <v>0</v>
      </c>
      <c r="F91" s="20"/>
      <c r="G91" s="25">
        <f t="shared" si="4"/>
        <v>0</v>
      </c>
      <c r="H91" s="20"/>
      <c r="I91" s="31">
        <v>0</v>
      </c>
      <c r="J91" s="20"/>
      <c r="K91" s="28">
        <f t="shared" si="5"/>
        <v>0</v>
      </c>
      <c r="M91" s="29">
        <f t="shared" si="6"/>
        <v>0</v>
      </c>
      <c r="N91" s="27">
        <f t="shared" si="7"/>
        <v>0</v>
      </c>
      <c r="O91" s="32">
        <v>0</v>
      </c>
    </row>
    <row r="92" spans="1:15" x14ac:dyDescent="0.25">
      <c r="A92" s="3"/>
      <c r="B92" s="3"/>
      <c r="C92" s="18" t="s">
        <v>82</v>
      </c>
      <c r="D92" s="18"/>
      <c r="E92" s="24">
        <v>0</v>
      </c>
      <c r="F92" s="20"/>
      <c r="G92" s="25">
        <f t="shared" si="4"/>
        <v>0</v>
      </c>
      <c r="H92" s="20"/>
      <c r="I92" s="31">
        <v>0</v>
      </c>
      <c r="J92" s="20"/>
      <c r="K92" s="28">
        <f t="shared" si="5"/>
        <v>0</v>
      </c>
      <c r="M92" s="29">
        <f t="shared" si="6"/>
        <v>0</v>
      </c>
      <c r="N92" s="27">
        <f t="shared" si="7"/>
        <v>0</v>
      </c>
      <c r="O92" s="32">
        <v>0</v>
      </c>
    </row>
    <row r="93" spans="1:15" x14ac:dyDescent="0.25">
      <c r="A93" s="3"/>
      <c r="B93" s="3"/>
      <c r="C93" s="18" t="s">
        <v>83</v>
      </c>
      <c r="D93" s="18"/>
      <c r="E93" s="24">
        <v>0</v>
      </c>
      <c r="F93" s="20"/>
      <c r="G93" s="25">
        <f t="shared" si="4"/>
        <v>0</v>
      </c>
      <c r="H93" s="20"/>
      <c r="I93" s="31">
        <v>0</v>
      </c>
      <c r="J93" s="20"/>
      <c r="K93" s="28">
        <f t="shared" si="5"/>
        <v>0</v>
      </c>
      <c r="M93" s="29">
        <f t="shared" si="6"/>
        <v>0</v>
      </c>
      <c r="N93" s="27">
        <f t="shared" si="7"/>
        <v>0</v>
      </c>
      <c r="O93" s="32">
        <v>0</v>
      </c>
    </row>
    <row r="94" spans="1:15" x14ac:dyDescent="0.25">
      <c r="A94" s="3"/>
      <c r="B94" s="3"/>
      <c r="C94" s="18" t="s">
        <v>84</v>
      </c>
      <c r="D94" s="18"/>
      <c r="E94" s="24">
        <v>0</v>
      </c>
      <c r="F94" s="20"/>
      <c r="G94" s="25">
        <f t="shared" si="4"/>
        <v>0</v>
      </c>
      <c r="H94" s="20"/>
      <c r="I94" s="31">
        <v>0</v>
      </c>
      <c r="J94" s="20"/>
      <c r="K94" s="28">
        <f t="shared" si="5"/>
        <v>0</v>
      </c>
      <c r="M94" s="29">
        <f t="shared" si="6"/>
        <v>0</v>
      </c>
      <c r="N94" s="27">
        <f t="shared" si="7"/>
        <v>0</v>
      </c>
      <c r="O94" s="32">
        <v>0</v>
      </c>
    </row>
    <row r="95" spans="1:15" x14ac:dyDescent="0.25">
      <c r="A95" s="3"/>
      <c r="B95" s="3"/>
      <c r="C95" s="18"/>
      <c r="D95" s="18"/>
      <c r="E95" s="24"/>
      <c r="F95" s="20"/>
      <c r="G95" s="25"/>
      <c r="H95" s="20"/>
      <c r="I95" s="31"/>
      <c r="J95" s="20"/>
      <c r="K95" s="28">
        <f t="shared" si="5"/>
        <v>0</v>
      </c>
      <c r="M95" s="29">
        <f t="shared" si="6"/>
        <v>0</v>
      </c>
      <c r="N95" s="27">
        <f t="shared" si="7"/>
        <v>0</v>
      </c>
      <c r="O95" s="32"/>
    </row>
    <row r="96" spans="1:15" x14ac:dyDescent="0.25">
      <c r="A96" s="3"/>
      <c r="B96" s="3"/>
      <c r="C96" s="18" t="s">
        <v>85</v>
      </c>
      <c r="D96" s="18"/>
      <c r="E96" s="24"/>
      <c r="F96" s="20"/>
      <c r="G96" s="25"/>
      <c r="H96" s="20"/>
      <c r="I96" s="31"/>
      <c r="J96" s="20"/>
      <c r="K96" s="28">
        <f t="shared" si="5"/>
        <v>0</v>
      </c>
      <c r="M96" s="29">
        <f t="shared" si="6"/>
        <v>0</v>
      </c>
      <c r="N96" s="27">
        <f t="shared" si="7"/>
        <v>0</v>
      </c>
      <c r="O96" s="32"/>
    </row>
    <row r="97" spans="1:20" x14ac:dyDescent="0.25">
      <c r="A97" s="3"/>
      <c r="B97" s="3"/>
      <c r="C97" s="18"/>
      <c r="D97" s="18" t="s">
        <v>86</v>
      </c>
      <c r="E97" s="24">
        <v>1269.67</v>
      </c>
      <c r="F97" s="20"/>
      <c r="G97" s="25">
        <v>1269.67</v>
      </c>
      <c r="H97" s="20"/>
      <c r="I97" s="31">
        <v>0</v>
      </c>
      <c r="J97" s="20"/>
      <c r="K97" s="28">
        <f t="shared" si="5"/>
        <v>1269.67</v>
      </c>
      <c r="M97" s="29">
        <f t="shared" si="6"/>
        <v>0</v>
      </c>
      <c r="N97" s="27">
        <f t="shared" si="7"/>
        <v>1269.67</v>
      </c>
      <c r="O97" s="32"/>
    </row>
    <row r="98" spans="1:20" ht="15.75" thickBot="1" x14ac:dyDescent="0.3">
      <c r="A98" s="3"/>
      <c r="B98" s="3"/>
      <c r="C98" s="18"/>
      <c r="D98" s="18"/>
      <c r="E98" s="35"/>
      <c r="F98" s="20"/>
      <c r="G98" s="25"/>
      <c r="H98" s="20"/>
      <c r="I98" s="31"/>
      <c r="J98" s="20"/>
      <c r="K98" s="28"/>
      <c r="M98" s="29"/>
      <c r="N98" s="27"/>
      <c r="O98" s="32"/>
    </row>
    <row r="99" spans="1:20" ht="15.75" thickBot="1" x14ac:dyDescent="0.3">
      <c r="A99" s="3"/>
      <c r="B99" s="3"/>
      <c r="C99" s="3" t="s">
        <v>87</v>
      </c>
      <c r="D99" s="3"/>
      <c r="E99" s="36">
        <f>ROUND(SUM(E3:E97),5)</f>
        <v>674953.32</v>
      </c>
      <c r="F99" s="20"/>
      <c r="G99" s="37">
        <f>ROUND(SUM(G3:G97),5)</f>
        <v>918213.82</v>
      </c>
      <c r="H99" s="20"/>
      <c r="I99" s="38">
        <f>ROUND(SUM(I3:I97),5)</f>
        <v>912121</v>
      </c>
      <c r="J99" s="20"/>
      <c r="K99" s="39">
        <f t="shared" ref="K99:K140" si="8">+G99-I99</f>
        <v>6092.8199999999488</v>
      </c>
      <c r="M99" s="40">
        <v>912121</v>
      </c>
      <c r="N99" s="39">
        <f>ROUND(SUM(N3:N97),5)</f>
        <v>918213.82</v>
      </c>
      <c r="O99" s="40">
        <f>ROUND(SUM(O3:O97),5)</f>
        <v>933330.5</v>
      </c>
      <c r="T99" s="41"/>
    </row>
    <row r="100" spans="1:20" x14ac:dyDescent="0.25">
      <c r="A100" s="3"/>
      <c r="B100" s="3"/>
      <c r="C100" s="3"/>
      <c r="D100" s="3"/>
      <c r="E100" s="19"/>
      <c r="F100" s="20"/>
      <c r="G100" s="20"/>
      <c r="H100" s="20"/>
      <c r="I100" s="22"/>
      <c r="J100" s="20"/>
      <c r="K100" s="28"/>
      <c r="M100" s="23"/>
      <c r="N100" s="20"/>
      <c r="O100" s="23"/>
    </row>
    <row r="101" spans="1:20" x14ac:dyDescent="0.25">
      <c r="A101" s="3"/>
      <c r="B101" s="3"/>
      <c r="C101" s="3" t="s">
        <v>88</v>
      </c>
      <c r="D101" s="3"/>
      <c r="E101" s="19"/>
      <c r="F101" s="20"/>
      <c r="G101" s="20"/>
      <c r="H101" s="20"/>
      <c r="I101" s="22"/>
      <c r="J101" s="20"/>
      <c r="K101" s="28"/>
      <c r="M101" s="23"/>
      <c r="N101" s="20"/>
      <c r="O101" s="23"/>
    </row>
    <row r="102" spans="1:20" x14ac:dyDescent="0.25">
      <c r="A102" s="3"/>
      <c r="B102" s="3"/>
      <c r="C102" s="18" t="s">
        <v>89</v>
      </c>
      <c r="D102" s="18"/>
      <c r="E102" s="19"/>
      <c r="F102" s="20"/>
      <c r="G102" s="20"/>
      <c r="H102" s="20"/>
      <c r="I102" s="22"/>
      <c r="J102" s="20"/>
      <c r="K102" s="28"/>
      <c r="M102" s="23"/>
      <c r="N102" s="20">
        <f>+G102</f>
        <v>0</v>
      </c>
      <c r="O102" s="29"/>
    </row>
    <row r="103" spans="1:20" x14ac:dyDescent="0.25">
      <c r="A103" s="3"/>
      <c r="B103" s="3"/>
      <c r="C103" s="18"/>
      <c r="D103" s="18" t="s">
        <v>90</v>
      </c>
      <c r="E103" s="24">
        <v>0</v>
      </c>
      <c r="F103" s="42"/>
      <c r="G103" s="25">
        <f t="shared" ref="G103:G160" si="9">ROUND(E103/9*12,0)</f>
        <v>0</v>
      </c>
      <c r="H103" s="42"/>
      <c r="I103" s="43">
        <v>0</v>
      </c>
      <c r="J103" s="20"/>
      <c r="K103" s="28">
        <f t="shared" si="8"/>
        <v>0</v>
      </c>
      <c r="M103" s="29">
        <f t="shared" ref="M103:M166" si="10">+I103</f>
        <v>0</v>
      </c>
      <c r="N103" s="20">
        <f t="shared" ref="N103:N243" si="11">+G103</f>
        <v>0</v>
      </c>
      <c r="O103" s="29">
        <v>0</v>
      </c>
    </row>
    <row r="104" spans="1:20" x14ac:dyDescent="0.25">
      <c r="A104" s="3"/>
      <c r="B104" s="3"/>
      <c r="C104" s="18"/>
      <c r="D104" s="18" t="s">
        <v>91</v>
      </c>
      <c r="E104" s="24">
        <v>0</v>
      </c>
      <c r="F104" s="42"/>
      <c r="G104" s="25">
        <f t="shared" si="9"/>
        <v>0</v>
      </c>
      <c r="H104" s="42"/>
      <c r="I104" s="43">
        <v>0</v>
      </c>
      <c r="J104" s="20"/>
      <c r="K104" s="28">
        <f t="shared" si="8"/>
        <v>0</v>
      </c>
      <c r="M104" s="29">
        <f t="shared" si="10"/>
        <v>0</v>
      </c>
      <c r="N104" s="20">
        <f t="shared" si="11"/>
        <v>0</v>
      </c>
      <c r="O104" s="29">
        <v>0</v>
      </c>
    </row>
    <row r="105" spans="1:20" x14ac:dyDescent="0.25">
      <c r="A105" s="3"/>
      <c r="B105" s="3"/>
      <c r="C105" s="18"/>
      <c r="D105" s="18" t="s">
        <v>92</v>
      </c>
      <c r="E105" s="24">
        <v>0</v>
      </c>
      <c r="F105" s="42"/>
      <c r="G105" s="25">
        <f t="shared" si="9"/>
        <v>0</v>
      </c>
      <c r="H105" s="42"/>
      <c r="I105" s="43">
        <v>0</v>
      </c>
      <c r="J105" s="20"/>
      <c r="K105" s="28">
        <f t="shared" si="8"/>
        <v>0</v>
      </c>
      <c r="M105" s="29">
        <f t="shared" si="10"/>
        <v>0</v>
      </c>
      <c r="N105" s="20">
        <f t="shared" si="11"/>
        <v>0</v>
      </c>
      <c r="O105" s="29">
        <v>0</v>
      </c>
    </row>
    <row r="106" spans="1:20" x14ac:dyDescent="0.25">
      <c r="A106" s="3"/>
      <c r="B106" s="3"/>
      <c r="C106" s="18"/>
      <c r="D106" s="18" t="s">
        <v>93</v>
      </c>
      <c r="E106" s="24">
        <v>0</v>
      </c>
      <c r="F106" s="42"/>
      <c r="G106" s="25">
        <f t="shared" si="9"/>
        <v>0</v>
      </c>
      <c r="H106" s="42"/>
      <c r="I106" s="43">
        <v>0</v>
      </c>
      <c r="J106" s="20"/>
      <c r="K106" s="28">
        <f t="shared" si="8"/>
        <v>0</v>
      </c>
      <c r="M106" s="29">
        <f t="shared" si="10"/>
        <v>0</v>
      </c>
      <c r="N106" s="20">
        <f t="shared" si="11"/>
        <v>0</v>
      </c>
      <c r="O106" s="29">
        <v>0</v>
      </c>
    </row>
    <row r="107" spans="1:20" x14ac:dyDescent="0.25">
      <c r="A107" s="3"/>
      <c r="B107" s="3"/>
      <c r="C107" s="18"/>
      <c r="D107" s="18" t="s">
        <v>94</v>
      </c>
      <c r="E107" s="24">
        <v>0</v>
      </c>
      <c r="F107" s="42"/>
      <c r="G107" s="25">
        <f t="shared" si="9"/>
        <v>0</v>
      </c>
      <c r="H107" s="42"/>
      <c r="I107" s="43">
        <v>0</v>
      </c>
      <c r="J107" s="20"/>
      <c r="K107" s="28">
        <f t="shared" si="8"/>
        <v>0</v>
      </c>
      <c r="M107" s="29">
        <f t="shared" si="10"/>
        <v>0</v>
      </c>
      <c r="N107" s="20">
        <f t="shared" si="11"/>
        <v>0</v>
      </c>
      <c r="O107" s="29">
        <v>0</v>
      </c>
    </row>
    <row r="108" spans="1:20" x14ac:dyDescent="0.25">
      <c r="A108" s="3"/>
      <c r="B108" s="3"/>
      <c r="C108" s="18"/>
      <c r="D108" s="18" t="s">
        <v>95</v>
      </c>
      <c r="E108" s="24">
        <v>490</v>
      </c>
      <c r="F108" s="42"/>
      <c r="G108" s="25">
        <f t="shared" si="9"/>
        <v>653</v>
      </c>
      <c r="H108" s="42"/>
      <c r="I108" s="43">
        <v>0</v>
      </c>
      <c r="J108" s="20"/>
      <c r="K108" s="28">
        <f t="shared" si="8"/>
        <v>653</v>
      </c>
      <c r="M108" s="29">
        <f t="shared" si="10"/>
        <v>0</v>
      </c>
      <c r="N108" s="20">
        <f t="shared" si="11"/>
        <v>653</v>
      </c>
      <c r="O108" s="29"/>
    </row>
    <row r="109" spans="1:20" x14ac:dyDescent="0.25">
      <c r="A109" s="3"/>
      <c r="B109" s="3"/>
      <c r="C109" s="18"/>
      <c r="D109" s="18" t="s">
        <v>96</v>
      </c>
      <c r="E109" s="24">
        <v>0</v>
      </c>
      <c r="F109" s="42"/>
      <c r="G109" s="25">
        <f t="shared" si="9"/>
        <v>0</v>
      </c>
      <c r="H109" s="42"/>
      <c r="I109" s="43">
        <v>0</v>
      </c>
      <c r="J109" s="20"/>
      <c r="K109" s="28">
        <f t="shared" si="8"/>
        <v>0</v>
      </c>
      <c r="M109" s="29">
        <f t="shared" si="10"/>
        <v>0</v>
      </c>
      <c r="N109" s="20">
        <f t="shared" si="11"/>
        <v>0</v>
      </c>
      <c r="O109" s="23">
        <v>0</v>
      </c>
    </row>
    <row r="110" spans="1:20" x14ac:dyDescent="0.25">
      <c r="A110" s="3"/>
      <c r="B110" s="3"/>
      <c r="C110" s="18"/>
      <c r="D110" s="18" t="s">
        <v>97</v>
      </c>
      <c r="E110" s="24">
        <v>0</v>
      </c>
      <c r="F110" s="42"/>
      <c r="G110" s="25">
        <f t="shared" si="9"/>
        <v>0</v>
      </c>
      <c r="H110" s="42"/>
      <c r="I110" s="43">
        <v>0</v>
      </c>
      <c r="J110" s="20"/>
      <c r="K110" s="28">
        <f t="shared" si="8"/>
        <v>0</v>
      </c>
      <c r="M110" s="29">
        <f t="shared" si="10"/>
        <v>0</v>
      </c>
      <c r="N110" s="20">
        <f t="shared" si="11"/>
        <v>0</v>
      </c>
      <c r="O110" s="23">
        <v>0</v>
      </c>
    </row>
    <row r="111" spans="1:20" x14ac:dyDescent="0.25">
      <c r="A111" s="3"/>
      <c r="B111" s="3"/>
      <c r="C111" s="18"/>
      <c r="D111" s="18"/>
      <c r="E111" s="24"/>
      <c r="F111" s="42"/>
      <c r="G111" s="25"/>
      <c r="H111" s="42"/>
      <c r="I111" s="43"/>
      <c r="J111" s="20"/>
      <c r="K111" s="28"/>
      <c r="M111" s="29"/>
      <c r="N111" s="20"/>
      <c r="O111" s="23"/>
    </row>
    <row r="112" spans="1:20" x14ac:dyDescent="0.25">
      <c r="A112" s="3"/>
      <c r="B112" s="3"/>
      <c r="C112" s="18" t="s">
        <v>98</v>
      </c>
      <c r="D112" s="18"/>
      <c r="E112" s="24"/>
      <c r="F112" s="42"/>
      <c r="G112" s="25"/>
      <c r="H112" s="42"/>
      <c r="I112" s="43"/>
      <c r="J112" s="20"/>
      <c r="K112" s="28"/>
      <c r="M112" s="29"/>
      <c r="N112" s="20"/>
      <c r="O112" s="23"/>
    </row>
    <row r="113" spans="1:15" x14ac:dyDescent="0.25">
      <c r="A113" s="3"/>
      <c r="B113" s="3"/>
      <c r="C113" s="18"/>
      <c r="D113" s="18" t="s">
        <v>99</v>
      </c>
      <c r="E113" s="24"/>
      <c r="F113" s="42"/>
      <c r="G113" s="25"/>
      <c r="H113" s="42"/>
      <c r="I113" s="43"/>
      <c r="J113" s="20"/>
      <c r="K113" s="28"/>
      <c r="M113" s="29"/>
      <c r="N113" s="20"/>
      <c r="O113" s="23"/>
    </row>
    <row r="114" spans="1:15" x14ac:dyDescent="0.25">
      <c r="A114" s="3"/>
      <c r="B114" s="3"/>
      <c r="C114" s="18"/>
      <c r="D114" s="18" t="s">
        <v>100</v>
      </c>
      <c r="E114" s="24">
        <v>0</v>
      </c>
      <c r="F114" s="42"/>
      <c r="G114" s="25">
        <f t="shared" si="9"/>
        <v>0</v>
      </c>
      <c r="H114" s="42"/>
      <c r="I114" s="43">
        <v>0</v>
      </c>
      <c r="J114" s="20"/>
      <c r="K114" s="28">
        <f t="shared" si="8"/>
        <v>0</v>
      </c>
      <c r="M114" s="29">
        <f t="shared" si="10"/>
        <v>0</v>
      </c>
      <c r="N114" s="20">
        <f t="shared" si="11"/>
        <v>0</v>
      </c>
      <c r="O114" s="23">
        <v>0</v>
      </c>
    </row>
    <row r="115" spans="1:15" x14ac:dyDescent="0.25">
      <c r="A115" s="3"/>
      <c r="B115" s="3"/>
      <c r="C115" s="18"/>
      <c r="D115" s="18" t="s">
        <v>101</v>
      </c>
      <c r="E115" s="24">
        <v>0</v>
      </c>
      <c r="F115" s="42"/>
      <c r="G115" s="25">
        <f t="shared" si="9"/>
        <v>0</v>
      </c>
      <c r="H115" s="42"/>
      <c r="I115" s="43">
        <v>0</v>
      </c>
      <c r="J115" s="20"/>
      <c r="K115" s="28">
        <f t="shared" si="8"/>
        <v>0</v>
      </c>
      <c r="M115" s="29">
        <f t="shared" si="10"/>
        <v>0</v>
      </c>
      <c r="N115" s="20">
        <f t="shared" si="11"/>
        <v>0</v>
      </c>
      <c r="O115" s="23">
        <v>0</v>
      </c>
    </row>
    <row r="116" spans="1:15" x14ac:dyDescent="0.25">
      <c r="A116" s="3"/>
      <c r="B116" s="3"/>
      <c r="C116" s="18"/>
      <c r="D116" s="18" t="s">
        <v>102</v>
      </c>
      <c r="E116" s="24">
        <v>0</v>
      </c>
      <c r="F116" s="42"/>
      <c r="G116" s="25">
        <f t="shared" si="9"/>
        <v>0</v>
      </c>
      <c r="H116" s="42"/>
      <c r="I116" s="43">
        <v>0</v>
      </c>
      <c r="J116" s="20"/>
      <c r="K116" s="28">
        <f t="shared" si="8"/>
        <v>0</v>
      </c>
      <c r="M116" s="29">
        <f t="shared" si="10"/>
        <v>0</v>
      </c>
      <c r="N116" s="20">
        <f t="shared" si="11"/>
        <v>0</v>
      </c>
      <c r="O116" s="23"/>
    </row>
    <row r="117" spans="1:15" x14ac:dyDescent="0.25">
      <c r="A117" s="3"/>
      <c r="B117" s="3"/>
      <c r="C117" s="18"/>
      <c r="D117" s="18"/>
      <c r="E117" s="24"/>
      <c r="F117" s="42"/>
      <c r="G117" s="25"/>
      <c r="H117" s="42"/>
      <c r="I117" s="43"/>
      <c r="J117" s="20"/>
      <c r="K117" s="28"/>
      <c r="M117" s="29"/>
      <c r="N117" s="20"/>
      <c r="O117" s="23"/>
    </row>
    <row r="118" spans="1:15" x14ac:dyDescent="0.25">
      <c r="A118" s="3"/>
      <c r="B118" s="3"/>
      <c r="C118" s="18" t="s">
        <v>103</v>
      </c>
      <c r="D118" s="18"/>
      <c r="E118" s="24"/>
      <c r="F118" s="42"/>
      <c r="G118" s="25"/>
      <c r="H118" s="42"/>
      <c r="I118" s="43"/>
      <c r="J118" s="20"/>
      <c r="K118" s="28"/>
      <c r="M118" s="29"/>
      <c r="N118" s="20"/>
      <c r="O118" s="44"/>
    </row>
    <row r="119" spans="1:15" x14ac:dyDescent="0.25">
      <c r="A119" s="3"/>
      <c r="B119" s="3"/>
      <c r="C119" s="18"/>
      <c r="D119" s="18" t="s">
        <v>104</v>
      </c>
      <c r="E119" s="24">
        <v>34941.85</v>
      </c>
      <c r="F119" s="42"/>
      <c r="G119" s="25">
        <f>ROUND(E119/8*12,0)</f>
        <v>52413</v>
      </c>
      <c r="H119" s="42"/>
      <c r="I119" s="43">
        <v>86277.36</v>
      </c>
      <c r="J119" s="20"/>
      <c r="K119" s="28">
        <f t="shared" si="8"/>
        <v>-33864.36</v>
      </c>
      <c r="M119" s="29">
        <f t="shared" si="10"/>
        <v>86277.36</v>
      </c>
      <c r="N119" s="20">
        <f t="shared" si="11"/>
        <v>52413</v>
      </c>
      <c r="O119" s="45" t="e">
        <f>+#REF!</f>
        <v>#REF!</v>
      </c>
    </row>
    <row r="120" spans="1:15" x14ac:dyDescent="0.25">
      <c r="A120" s="3"/>
      <c r="B120" s="3"/>
      <c r="C120" s="18"/>
      <c r="D120" s="18" t="s">
        <v>105</v>
      </c>
      <c r="E120" s="24">
        <v>2956.81</v>
      </c>
      <c r="F120" s="42"/>
      <c r="G120" s="25">
        <f t="shared" ref="G120:G123" si="12">ROUND(E120/8*12,0)</f>
        <v>4435</v>
      </c>
      <c r="H120" s="42"/>
      <c r="I120" s="43">
        <v>6973.2</v>
      </c>
      <c r="J120" s="20"/>
      <c r="K120" s="28">
        <f t="shared" si="8"/>
        <v>-2538.1999999999998</v>
      </c>
      <c r="M120" s="29">
        <f t="shared" si="10"/>
        <v>6973.2</v>
      </c>
      <c r="N120" s="20">
        <f t="shared" si="11"/>
        <v>4435</v>
      </c>
      <c r="O120" s="45" t="e">
        <f>+#REF!</f>
        <v>#REF!</v>
      </c>
    </row>
    <row r="121" spans="1:15" x14ac:dyDescent="0.25">
      <c r="A121" s="3"/>
      <c r="B121" s="3"/>
      <c r="C121" s="18"/>
      <c r="D121" s="18" t="s">
        <v>106</v>
      </c>
      <c r="E121" s="24">
        <v>2431.37</v>
      </c>
      <c r="F121" s="42"/>
      <c r="G121" s="25">
        <f t="shared" si="12"/>
        <v>3647</v>
      </c>
      <c r="H121" s="42"/>
      <c r="I121" s="43">
        <v>4313.87</v>
      </c>
      <c r="J121" s="20"/>
      <c r="K121" s="28">
        <f t="shared" si="8"/>
        <v>-666.86999999999989</v>
      </c>
      <c r="M121" s="29">
        <f t="shared" si="10"/>
        <v>4313.87</v>
      </c>
      <c r="N121" s="20">
        <f t="shared" si="11"/>
        <v>3647</v>
      </c>
      <c r="O121" s="45" t="e">
        <f>+#REF!</f>
        <v>#REF!</v>
      </c>
    </row>
    <row r="122" spans="1:15" x14ac:dyDescent="0.25">
      <c r="A122" s="3"/>
      <c r="B122" s="3"/>
      <c r="C122" s="18"/>
      <c r="D122" s="18" t="s">
        <v>107</v>
      </c>
      <c r="E122" s="24">
        <v>3427.99</v>
      </c>
      <c r="F122" s="42"/>
      <c r="G122" s="25">
        <f t="shared" si="12"/>
        <v>5142</v>
      </c>
      <c r="H122" s="42"/>
      <c r="I122" s="43">
        <v>3490.94</v>
      </c>
      <c r="J122" s="20"/>
      <c r="K122" s="28">
        <f t="shared" si="8"/>
        <v>1651.06</v>
      </c>
      <c r="M122" s="29">
        <f t="shared" si="10"/>
        <v>3490.94</v>
      </c>
      <c r="N122" s="20">
        <f t="shared" si="11"/>
        <v>5142</v>
      </c>
      <c r="O122" s="45" t="e">
        <f>+#REF!</f>
        <v>#REF!</v>
      </c>
    </row>
    <row r="123" spans="1:15" x14ac:dyDescent="0.25">
      <c r="A123" s="3"/>
      <c r="B123" s="3"/>
      <c r="C123" s="18"/>
      <c r="D123" s="18" t="s">
        <v>108</v>
      </c>
      <c r="E123" s="24">
        <v>0</v>
      </c>
      <c r="F123" s="42"/>
      <c r="G123" s="25">
        <f t="shared" si="12"/>
        <v>0</v>
      </c>
      <c r="H123" s="42"/>
      <c r="I123" s="43">
        <v>0</v>
      </c>
      <c r="J123" s="20"/>
      <c r="K123" s="28">
        <f t="shared" si="8"/>
        <v>0</v>
      </c>
      <c r="M123" s="29">
        <f t="shared" si="10"/>
        <v>0</v>
      </c>
      <c r="N123" s="20">
        <f t="shared" si="11"/>
        <v>0</v>
      </c>
      <c r="O123" s="45" t="e">
        <f>+#REF!</f>
        <v>#REF!</v>
      </c>
    </row>
    <row r="124" spans="1:15" x14ac:dyDescent="0.25">
      <c r="A124" s="3"/>
      <c r="B124" s="3"/>
      <c r="C124" s="18"/>
      <c r="D124" s="18" t="s">
        <v>109</v>
      </c>
      <c r="E124" s="24">
        <v>0</v>
      </c>
      <c r="F124" s="42"/>
      <c r="G124" s="25">
        <f t="shared" si="9"/>
        <v>0</v>
      </c>
      <c r="H124" s="42"/>
      <c r="I124" s="43">
        <v>2000</v>
      </c>
      <c r="J124" s="20"/>
      <c r="K124" s="28">
        <f t="shared" si="8"/>
        <v>-2000</v>
      </c>
      <c r="M124" s="29">
        <f t="shared" si="10"/>
        <v>2000</v>
      </c>
      <c r="N124" s="20">
        <f t="shared" si="11"/>
        <v>0</v>
      </c>
      <c r="O124" s="23">
        <v>2000</v>
      </c>
    </row>
    <row r="125" spans="1:15" x14ac:dyDescent="0.25">
      <c r="A125" s="3"/>
      <c r="B125" s="3"/>
      <c r="C125" s="18"/>
      <c r="D125" s="18" t="s">
        <v>110</v>
      </c>
      <c r="E125" s="24">
        <v>857.43</v>
      </c>
      <c r="F125" s="42"/>
      <c r="G125" s="25">
        <f t="shared" si="9"/>
        <v>1143</v>
      </c>
      <c r="H125" s="42"/>
      <c r="I125" s="43">
        <v>1600</v>
      </c>
      <c r="J125" s="20"/>
      <c r="K125" s="28">
        <f t="shared" si="8"/>
        <v>-457</v>
      </c>
      <c r="M125" s="29">
        <f t="shared" si="10"/>
        <v>1600</v>
      </c>
      <c r="N125" s="20">
        <f t="shared" si="11"/>
        <v>1143</v>
      </c>
      <c r="O125" s="23">
        <v>1600</v>
      </c>
    </row>
    <row r="126" spans="1:15" x14ac:dyDescent="0.25">
      <c r="A126" s="3"/>
      <c r="B126" s="3"/>
      <c r="C126" s="18"/>
      <c r="D126" s="18" t="s">
        <v>111</v>
      </c>
      <c r="E126" s="24">
        <v>17975.38</v>
      </c>
      <c r="F126" s="42"/>
      <c r="G126" s="25">
        <f t="shared" si="9"/>
        <v>23967</v>
      </c>
      <c r="H126" s="42"/>
      <c r="I126" s="43">
        <v>18314.18</v>
      </c>
      <c r="J126" s="20"/>
      <c r="K126" s="28">
        <f t="shared" si="8"/>
        <v>5652.82</v>
      </c>
      <c r="M126" s="29">
        <f t="shared" si="10"/>
        <v>18314.18</v>
      </c>
      <c r="N126" s="20">
        <f t="shared" si="11"/>
        <v>23967</v>
      </c>
      <c r="O126" s="23">
        <v>24000</v>
      </c>
    </row>
    <row r="127" spans="1:15" x14ac:dyDescent="0.25">
      <c r="A127" s="3"/>
      <c r="B127" s="3"/>
      <c r="C127" s="18"/>
      <c r="D127" s="18" t="s">
        <v>112</v>
      </c>
      <c r="E127" s="24">
        <v>0</v>
      </c>
      <c r="F127" s="42"/>
      <c r="G127" s="25">
        <f t="shared" si="9"/>
        <v>0</v>
      </c>
      <c r="H127" s="42"/>
      <c r="I127" s="43">
        <v>0</v>
      </c>
      <c r="J127" s="20"/>
      <c r="K127" s="28">
        <f t="shared" si="8"/>
        <v>0</v>
      </c>
      <c r="M127" s="29">
        <f t="shared" si="10"/>
        <v>0</v>
      </c>
      <c r="N127" s="20">
        <f t="shared" si="11"/>
        <v>0</v>
      </c>
      <c r="O127" s="23">
        <v>0</v>
      </c>
    </row>
    <row r="128" spans="1:15" x14ac:dyDescent="0.25">
      <c r="A128" s="3"/>
      <c r="B128" s="3"/>
      <c r="C128" s="18"/>
      <c r="D128" s="18" t="s">
        <v>113</v>
      </c>
      <c r="E128" s="24">
        <v>7795.32</v>
      </c>
      <c r="F128" s="42"/>
      <c r="G128" s="25">
        <f t="shared" si="9"/>
        <v>10394</v>
      </c>
      <c r="H128" s="42"/>
      <c r="I128" s="43">
        <v>11640</v>
      </c>
      <c r="J128" s="20"/>
      <c r="K128" s="28">
        <f t="shared" si="8"/>
        <v>-1246</v>
      </c>
      <c r="M128" s="29">
        <f t="shared" si="10"/>
        <v>11640</v>
      </c>
      <c r="N128" s="20">
        <f t="shared" si="11"/>
        <v>10394</v>
      </c>
      <c r="O128" s="23">
        <f>11600*1.45</f>
        <v>16820</v>
      </c>
    </row>
    <row r="129" spans="1:15" x14ac:dyDescent="0.25">
      <c r="A129" s="3"/>
      <c r="B129" s="3"/>
      <c r="C129" s="18"/>
      <c r="D129" s="18" t="s">
        <v>114</v>
      </c>
      <c r="E129" s="24">
        <v>8190.85</v>
      </c>
      <c r="F129" s="42"/>
      <c r="G129" s="25">
        <f t="shared" si="9"/>
        <v>10921</v>
      </c>
      <c r="H129" s="42"/>
      <c r="I129" s="43">
        <v>15000</v>
      </c>
      <c r="J129" s="20"/>
      <c r="K129" s="28">
        <f t="shared" si="8"/>
        <v>-4079</v>
      </c>
      <c r="M129" s="29">
        <f t="shared" si="10"/>
        <v>15000</v>
      </c>
      <c r="N129" s="20">
        <f t="shared" si="11"/>
        <v>10921</v>
      </c>
      <c r="O129" s="23">
        <v>15000</v>
      </c>
    </row>
    <row r="130" spans="1:15" x14ac:dyDescent="0.25">
      <c r="A130" s="3"/>
      <c r="B130" s="3"/>
      <c r="C130" s="18"/>
      <c r="D130" s="18" t="s">
        <v>115</v>
      </c>
      <c r="E130" s="24">
        <v>5054.59</v>
      </c>
      <c r="F130" s="42"/>
      <c r="G130" s="25">
        <f t="shared" si="9"/>
        <v>6739</v>
      </c>
      <c r="H130" s="42"/>
      <c r="I130" s="43">
        <v>5000</v>
      </c>
      <c r="J130" s="20"/>
      <c r="K130" s="28">
        <f t="shared" si="8"/>
        <v>1739</v>
      </c>
      <c r="M130" s="29">
        <f t="shared" si="10"/>
        <v>5000</v>
      </c>
      <c r="N130" s="20">
        <f t="shared" si="11"/>
        <v>6739</v>
      </c>
      <c r="O130" s="23">
        <v>5000</v>
      </c>
    </row>
    <row r="131" spans="1:15" x14ac:dyDescent="0.25">
      <c r="A131" s="3"/>
      <c r="B131" s="3"/>
      <c r="C131" s="18"/>
      <c r="D131" s="18" t="s">
        <v>116</v>
      </c>
      <c r="E131" s="24">
        <v>0</v>
      </c>
      <c r="F131" s="42"/>
      <c r="G131" s="25">
        <f t="shared" si="9"/>
        <v>0</v>
      </c>
      <c r="H131" s="42"/>
      <c r="I131" s="43">
        <v>4000</v>
      </c>
      <c r="J131" s="20"/>
      <c r="K131" s="28">
        <f t="shared" si="8"/>
        <v>-4000</v>
      </c>
      <c r="M131" s="29">
        <f t="shared" si="10"/>
        <v>4000</v>
      </c>
      <c r="N131" s="20">
        <f t="shared" si="11"/>
        <v>0</v>
      </c>
      <c r="O131" s="23">
        <v>4000</v>
      </c>
    </row>
    <row r="132" spans="1:15" x14ac:dyDescent="0.25">
      <c r="A132" s="3"/>
      <c r="B132" s="3"/>
      <c r="C132" s="18"/>
      <c r="D132" s="18" t="s">
        <v>117</v>
      </c>
      <c r="E132" s="24">
        <v>0</v>
      </c>
      <c r="F132" s="42"/>
      <c r="G132" s="25">
        <f t="shared" si="9"/>
        <v>0</v>
      </c>
      <c r="H132" s="42"/>
      <c r="I132" s="43">
        <v>5000</v>
      </c>
      <c r="J132" s="20"/>
      <c r="K132" s="28">
        <f t="shared" si="8"/>
        <v>-5000</v>
      </c>
      <c r="M132" s="29">
        <f t="shared" si="10"/>
        <v>5000</v>
      </c>
      <c r="N132" s="20">
        <f t="shared" si="11"/>
        <v>0</v>
      </c>
      <c r="O132" s="23">
        <v>20000</v>
      </c>
    </row>
    <row r="133" spans="1:15" x14ac:dyDescent="0.25">
      <c r="A133" s="3"/>
      <c r="B133" s="3"/>
      <c r="C133" s="18"/>
      <c r="D133" s="18"/>
      <c r="E133" s="24"/>
      <c r="F133" s="42"/>
      <c r="G133" s="25"/>
      <c r="H133" s="42"/>
      <c r="I133" s="43"/>
      <c r="J133" s="20"/>
      <c r="K133" s="28"/>
      <c r="M133" s="29"/>
      <c r="N133" s="20"/>
      <c r="O133" s="23"/>
    </row>
    <row r="134" spans="1:15" x14ac:dyDescent="0.25">
      <c r="A134" s="3"/>
      <c r="B134" s="3"/>
      <c r="C134" s="18" t="s">
        <v>118</v>
      </c>
      <c r="D134" s="18"/>
      <c r="E134" s="24"/>
      <c r="F134" s="42"/>
      <c r="G134" s="25"/>
      <c r="H134" s="42"/>
      <c r="I134" s="43"/>
      <c r="J134" s="20"/>
      <c r="K134" s="28"/>
      <c r="M134" s="29"/>
      <c r="N134" s="20"/>
      <c r="O134" s="23"/>
    </row>
    <row r="135" spans="1:15" x14ac:dyDescent="0.25">
      <c r="A135" s="3"/>
      <c r="B135" s="3"/>
      <c r="C135" s="18"/>
      <c r="D135" s="18" t="s">
        <v>119</v>
      </c>
      <c r="E135" s="24">
        <v>0</v>
      </c>
      <c r="F135" s="42"/>
      <c r="G135" s="25"/>
      <c r="H135" s="42"/>
      <c r="I135" s="43"/>
      <c r="J135" s="20"/>
      <c r="K135" s="28"/>
      <c r="M135" s="29"/>
      <c r="N135" s="20"/>
      <c r="O135" s="23"/>
    </row>
    <row r="136" spans="1:15" x14ac:dyDescent="0.25">
      <c r="A136" s="3"/>
      <c r="B136" s="3"/>
      <c r="C136" s="18"/>
      <c r="D136" s="18" t="s">
        <v>120</v>
      </c>
      <c r="E136" s="24">
        <v>0</v>
      </c>
      <c r="F136" s="42"/>
      <c r="G136" s="25">
        <f t="shared" si="9"/>
        <v>0</v>
      </c>
      <c r="H136" s="42"/>
      <c r="I136" s="43">
        <v>0</v>
      </c>
      <c r="J136" s="20"/>
      <c r="K136" s="28">
        <f t="shared" si="8"/>
        <v>0</v>
      </c>
      <c r="M136" s="29">
        <f t="shared" si="10"/>
        <v>0</v>
      </c>
      <c r="N136" s="20">
        <f t="shared" si="11"/>
        <v>0</v>
      </c>
      <c r="O136" s="23"/>
    </row>
    <row r="137" spans="1:15" x14ac:dyDescent="0.25">
      <c r="A137" s="3"/>
      <c r="B137" s="3"/>
      <c r="C137" s="18"/>
      <c r="D137" s="18" t="s">
        <v>121</v>
      </c>
      <c r="E137" s="24">
        <v>0</v>
      </c>
      <c r="F137" s="42"/>
      <c r="G137" s="25">
        <f t="shared" si="9"/>
        <v>0</v>
      </c>
      <c r="H137" s="42"/>
      <c r="I137" s="43">
        <v>500</v>
      </c>
      <c r="J137" s="20"/>
      <c r="K137" s="28">
        <f t="shared" si="8"/>
        <v>-500</v>
      </c>
      <c r="M137" s="29">
        <f t="shared" si="10"/>
        <v>500</v>
      </c>
      <c r="N137" s="20">
        <f t="shared" si="11"/>
        <v>0</v>
      </c>
      <c r="O137" s="23">
        <v>1500</v>
      </c>
    </row>
    <row r="138" spans="1:15" x14ac:dyDescent="0.25">
      <c r="A138" s="3"/>
      <c r="B138" s="3"/>
      <c r="C138" s="18"/>
      <c r="D138" s="18" t="s">
        <v>122</v>
      </c>
      <c r="E138" s="24">
        <v>3949.82</v>
      </c>
      <c r="F138" s="42"/>
      <c r="G138" s="25">
        <v>3949.82</v>
      </c>
      <c r="H138" s="42"/>
      <c r="I138" s="43">
        <v>4000</v>
      </c>
      <c r="J138" s="20"/>
      <c r="K138" s="28">
        <f t="shared" si="8"/>
        <v>-50.179999999999836</v>
      </c>
      <c r="M138" s="29">
        <f t="shared" si="10"/>
        <v>4000</v>
      </c>
      <c r="N138" s="20">
        <f t="shared" si="11"/>
        <v>3949.82</v>
      </c>
      <c r="O138" s="23">
        <v>4000</v>
      </c>
    </row>
    <row r="139" spans="1:15" x14ac:dyDescent="0.25">
      <c r="A139" s="3"/>
      <c r="B139" s="3"/>
      <c r="C139" s="18"/>
      <c r="D139" s="18" t="s">
        <v>123</v>
      </c>
      <c r="E139" s="24">
        <v>0</v>
      </c>
      <c r="F139" s="42"/>
      <c r="G139" s="25">
        <f t="shared" si="9"/>
        <v>0</v>
      </c>
      <c r="H139" s="42"/>
      <c r="I139" s="43">
        <v>500</v>
      </c>
      <c r="J139" s="20"/>
      <c r="K139" s="28">
        <f t="shared" si="8"/>
        <v>-500</v>
      </c>
      <c r="M139" s="29">
        <f t="shared" si="10"/>
        <v>500</v>
      </c>
      <c r="N139" s="20">
        <f t="shared" si="11"/>
        <v>0</v>
      </c>
      <c r="O139" s="23">
        <v>1000</v>
      </c>
    </row>
    <row r="140" spans="1:15" x14ac:dyDescent="0.25">
      <c r="A140" s="3"/>
      <c r="B140" s="3"/>
      <c r="C140" s="18"/>
      <c r="D140" s="18" t="s">
        <v>124</v>
      </c>
      <c r="E140" s="24">
        <v>7011.92</v>
      </c>
      <c r="F140" s="42"/>
      <c r="G140" s="25">
        <v>7011.92</v>
      </c>
      <c r="H140" s="42"/>
      <c r="I140" s="43">
        <v>4000</v>
      </c>
      <c r="J140" s="20"/>
      <c r="K140" s="28">
        <f t="shared" si="8"/>
        <v>3011.92</v>
      </c>
      <c r="M140" s="29">
        <f t="shared" si="10"/>
        <v>4000</v>
      </c>
      <c r="N140" s="20">
        <f t="shared" si="11"/>
        <v>7011.92</v>
      </c>
      <c r="O140" s="23">
        <v>4000</v>
      </c>
    </row>
    <row r="141" spans="1:15" x14ac:dyDescent="0.25">
      <c r="A141" s="3"/>
      <c r="B141" s="3"/>
      <c r="C141" s="18"/>
      <c r="D141" s="18" t="s">
        <v>125</v>
      </c>
      <c r="E141" s="24">
        <v>0</v>
      </c>
      <c r="F141" s="42"/>
      <c r="G141" s="25">
        <f t="shared" si="9"/>
        <v>0</v>
      </c>
      <c r="H141" s="42"/>
      <c r="I141" s="43">
        <v>0</v>
      </c>
      <c r="J141" s="20"/>
      <c r="K141" s="28"/>
      <c r="M141" s="29">
        <f t="shared" si="10"/>
        <v>0</v>
      </c>
      <c r="N141" s="20">
        <f t="shared" si="11"/>
        <v>0</v>
      </c>
      <c r="O141" s="23">
        <v>300</v>
      </c>
    </row>
    <row r="142" spans="1:15" x14ac:dyDescent="0.25">
      <c r="A142" s="3"/>
      <c r="B142" s="3"/>
      <c r="C142" s="18"/>
      <c r="D142" s="18" t="s">
        <v>126</v>
      </c>
      <c r="E142" s="24">
        <v>0</v>
      </c>
      <c r="F142" s="42"/>
      <c r="G142" s="25">
        <f t="shared" si="9"/>
        <v>0</v>
      </c>
      <c r="H142" s="42"/>
      <c r="I142" s="43">
        <v>0</v>
      </c>
      <c r="J142" s="20"/>
      <c r="K142" s="28"/>
      <c r="M142" s="29">
        <f t="shared" si="10"/>
        <v>0</v>
      </c>
      <c r="N142" s="20">
        <f t="shared" si="11"/>
        <v>0</v>
      </c>
      <c r="O142" s="23">
        <v>1200</v>
      </c>
    </row>
    <row r="143" spans="1:15" x14ac:dyDescent="0.25">
      <c r="A143" s="3"/>
      <c r="B143" s="3"/>
      <c r="C143" s="18"/>
      <c r="D143" s="18" t="s">
        <v>127</v>
      </c>
      <c r="E143" s="24">
        <v>0</v>
      </c>
      <c r="F143" s="42"/>
      <c r="G143" s="25">
        <f t="shared" si="9"/>
        <v>0</v>
      </c>
      <c r="H143" s="42"/>
      <c r="I143" s="43">
        <v>0</v>
      </c>
      <c r="J143" s="20"/>
      <c r="K143" s="28"/>
      <c r="M143" s="29">
        <f t="shared" si="10"/>
        <v>0</v>
      </c>
      <c r="N143" s="20">
        <f t="shared" si="11"/>
        <v>0</v>
      </c>
      <c r="O143" s="23">
        <v>500</v>
      </c>
    </row>
    <row r="144" spans="1:15" x14ac:dyDescent="0.25">
      <c r="A144" s="3"/>
      <c r="B144" s="3"/>
      <c r="C144" s="18"/>
      <c r="D144" s="18" t="s">
        <v>128</v>
      </c>
      <c r="E144" s="24">
        <v>0</v>
      </c>
      <c r="F144" s="42"/>
      <c r="G144" s="25">
        <f t="shared" si="9"/>
        <v>0</v>
      </c>
      <c r="H144" s="42"/>
      <c r="I144" s="43">
        <v>0</v>
      </c>
      <c r="J144" s="20"/>
      <c r="K144" s="28">
        <f t="shared" ref="K144:K209" si="13">+G144-I144</f>
        <v>0</v>
      </c>
      <c r="M144" s="29">
        <f t="shared" si="10"/>
        <v>0</v>
      </c>
      <c r="N144" s="20">
        <f t="shared" si="11"/>
        <v>0</v>
      </c>
      <c r="O144" s="23">
        <v>0</v>
      </c>
    </row>
    <row r="145" spans="1:15" x14ac:dyDescent="0.25">
      <c r="A145" s="3"/>
      <c r="B145" s="3"/>
      <c r="C145" s="18"/>
      <c r="D145" s="18" t="s">
        <v>129</v>
      </c>
      <c r="E145" s="24">
        <v>1620.68</v>
      </c>
      <c r="F145" s="42"/>
      <c r="G145" s="25">
        <f t="shared" si="9"/>
        <v>2161</v>
      </c>
      <c r="H145" s="42"/>
      <c r="I145" s="43">
        <v>1500</v>
      </c>
      <c r="J145" s="20"/>
      <c r="K145" s="28">
        <f t="shared" si="13"/>
        <v>661</v>
      </c>
      <c r="M145" s="29">
        <f t="shared" si="10"/>
        <v>1500</v>
      </c>
      <c r="N145" s="20">
        <f t="shared" si="11"/>
        <v>2161</v>
      </c>
      <c r="O145" s="23">
        <v>2161</v>
      </c>
    </row>
    <row r="146" spans="1:15" x14ac:dyDescent="0.25">
      <c r="A146" s="3"/>
      <c r="B146" s="3"/>
      <c r="C146" s="18"/>
      <c r="D146" s="18" t="s">
        <v>130</v>
      </c>
      <c r="E146" s="24">
        <v>2700</v>
      </c>
      <c r="F146" s="46"/>
      <c r="G146" s="25">
        <v>3900</v>
      </c>
      <c r="H146" s="46"/>
      <c r="I146" s="43">
        <v>4800</v>
      </c>
      <c r="J146" s="27"/>
      <c r="K146" s="28">
        <f t="shared" si="13"/>
        <v>-900</v>
      </c>
      <c r="L146" s="1"/>
      <c r="M146" s="29">
        <f t="shared" si="10"/>
        <v>4800</v>
      </c>
      <c r="N146" s="20">
        <f t="shared" si="11"/>
        <v>3900</v>
      </c>
      <c r="O146" s="23">
        <f>400*12</f>
        <v>4800</v>
      </c>
    </row>
    <row r="147" spans="1:15" x14ac:dyDescent="0.25">
      <c r="A147" s="3"/>
      <c r="B147" s="3"/>
      <c r="C147" s="18"/>
      <c r="D147" s="18" t="s">
        <v>131</v>
      </c>
      <c r="E147" s="24">
        <v>0</v>
      </c>
      <c r="F147" s="46"/>
      <c r="G147" s="25">
        <f t="shared" si="9"/>
        <v>0</v>
      </c>
      <c r="H147" s="46"/>
      <c r="I147" s="43">
        <v>0</v>
      </c>
      <c r="J147" s="27"/>
      <c r="K147" s="28">
        <f t="shared" si="13"/>
        <v>0</v>
      </c>
      <c r="L147" s="1"/>
      <c r="M147" s="29">
        <f t="shared" si="10"/>
        <v>0</v>
      </c>
      <c r="N147" s="20">
        <f t="shared" si="11"/>
        <v>0</v>
      </c>
      <c r="O147" s="23">
        <v>0</v>
      </c>
    </row>
    <row r="148" spans="1:15" x14ac:dyDescent="0.25">
      <c r="A148" s="3"/>
      <c r="B148" s="3"/>
      <c r="C148" s="18"/>
      <c r="D148" s="18" t="s">
        <v>132</v>
      </c>
      <c r="E148" s="24">
        <v>0</v>
      </c>
      <c r="F148" s="46"/>
      <c r="G148" s="25">
        <f t="shared" si="9"/>
        <v>0</v>
      </c>
      <c r="H148" s="46"/>
      <c r="I148" s="43">
        <v>0</v>
      </c>
      <c r="J148" s="27"/>
      <c r="K148" s="28">
        <f t="shared" si="13"/>
        <v>0</v>
      </c>
      <c r="L148" s="1"/>
      <c r="M148" s="29">
        <f t="shared" si="10"/>
        <v>0</v>
      </c>
      <c r="N148" s="20">
        <f t="shared" si="11"/>
        <v>0</v>
      </c>
      <c r="O148" s="23">
        <v>0</v>
      </c>
    </row>
    <row r="149" spans="1:15" x14ac:dyDescent="0.25">
      <c r="A149" s="3"/>
      <c r="B149" s="3"/>
      <c r="C149" s="18"/>
      <c r="D149" s="18"/>
      <c r="E149" s="24"/>
      <c r="F149" s="42"/>
      <c r="G149" s="25">
        <f t="shared" si="9"/>
        <v>0</v>
      </c>
      <c r="H149" s="42"/>
      <c r="I149" s="43"/>
      <c r="J149" s="20"/>
      <c r="K149" s="28"/>
      <c r="M149" s="29">
        <f t="shared" si="10"/>
        <v>0</v>
      </c>
      <c r="N149" s="20">
        <f t="shared" si="11"/>
        <v>0</v>
      </c>
      <c r="O149" s="23"/>
    </row>
    <row r="150" spans="1:15" x14ac:dyDescent="0.25">
      <c r="A150" s="3"/>
      <c r="B150" s="3"/>
      <c r="C150" s="18" t="s">
        <v>133</v>
      </c>
      <c r="D150" s="18"/>
      <c r="E150" s="24"/>
      <c r="F150" s="42"/>
      <c r="G150" s="25">
        <f t="shared" si="9"/>
        <v>0</v>
      </c>
      <c r="H150" s="42"/>
      <c r="I150" s="43"/>
      <c r="J150" s="20"/>
      <c r="K150" s="28"/>
      <c r="M150" s="29">
        <f t="shared" si="10"/>
        <v>0</v>
      </c>
      <c r="N150" s="20">
        <f t="shared" si="11"/>
        <v>0</v>
      </c>
      <c r="O150" s="23"/>
    </row>
    <row r="151" spans="1:15" x14ac:dyDescent="0.25">
      <c r="A151" s="3"/>
      <c r="B151" s="3"/>
      <c r="C151" s="18"/>
      <c r="D151" s="18" t="s">
        <v>134</v>
      </c>
      <c r="E151" s="24">
        <v>0</v>
      </c>
      <c r="F151" s="42"/>
      <c r="G151" s="25">
        <f t="shared" si="9"/>
        <v>0</v>
      </c>
      <c r="H151" s="42"/>
      <c r="I151" s="43">
        <v>0</v>
      </c>
      <c r="J151" s="20"/>
      <c r="K151" s="28">
        <f t="shared" si="13"/>
        <v>0</v>
      </c>
      <c r="M151" s="29">
        <f t="shared" si="10"/>
        <v>0</v>
      </c>
      <c r="N151" s="20">
        <f t="shared" si="11"/>
        <v>0</v>
      </c>
      <c r="O151" s="23">
        <v>0</v>
      </c>
    </row>
    <row r="152" spans="1:15" x14ac:dyDescent="0.25">
      <c r="A152" s="3"/>
      <c r="B152" s="3"/>
      <c r="C152" s="18"/>
      <c r="D152" s="18"/>
      <c r="E152" s="24"/>
      <c r="F152" s="42"/>
      <c r="G152" s="25"/>
      <c r="H152" s="42"/>
      <c r="I152" s="43"/>
      <c r="J152" s="20"/>
      <c r="K152" s="28"/>
      <c r="M152" s="29"/>
      <c r="N152" s="20"/>
      <c r="O152" s="23"/>
    </row>
    <row r="153" spans="1:15" x14ac:dyDescent="0.25">
      <c r="A153" s="3"/>
      <c r="B153" s="3"/>
      <c r="C153" s="18" t="s">
        <v>135</v>
      </c>
      <c r="D153" s="18"/>
      <c r="E153" s="24"/>
      <c r="F153" s="42"/>
      <c r="G153" s="25"/>
      <c r="H153" s="42"/>
      <c r="I153" s="43"/>
      <c r="J153" s="20"/>
      <c r="K153" s="28"/>
      <c r="M153" s="29"/>
      <c r="N153" s="20"/>
      <c r="O153" s="23"/>
    </row>
    <row r="154" spans="1:15" x14ac:dyDescent="0.25">
      <c r="A154" s="3"/>
      <c r="B154" s="3"/>
      <c r="C154" s="18"/>
      <c r="D154" s="18" t="s">
        <v>136</v>
      </c>
      <c r="E154" s="24">
        <v>20200</v>
      </c>
      <c r="F154" s="42"/>
      <c r="G154" s="25">
        <f>ROUND(E154/8*12,0)</f>
        <v>30300</v>
      </c>
      <c r="H154" s="42"/>
      <c r="I154" s="43">
        <v>31800</v>
      </c>
      <c r="J154" s="20"/>
      <c r="K154" s="28">
        <f t="shared" si="13"/>
        <v>-1500</v>
      </c>
      <c r="M154" s="29">
        <f t="shared" si="10"/>
        <v>31800</v>
      </c>
      <c r="N154" s="20">
        <f t="shared" si="11"/>
        <v>30300</v>
      </c>
      <c r="O154" s="29" t="e">
        <f>+#REF!</f>
        <v>#REF!</v>
      </c>
    </row>
    <row r="155" spans="1:15" x14ac:dyDescent="0.25">
      <c r="A155" s="3"/>
      <c r="B155" s="3"/>
      <c r="C155" s="18"/>
      <c r="D155" s="18" t="s">
        <v>137</v>
      </c>
      <c r="E155" s="24">
        <v>1545.34</v>
      </c>
      <c r="F155" s="42"/>
      <c r="G155" s="25">
        <f>ROUND(E155/8*12,0)</f>
        <v>2318</v>
      </c>
      <c r="H155" s="42"/>
      <c r="I155" s="43">
        <v>2432.6999999999998</v>
      </c>
      <c r="J155" s="20"/>
      <c r="K155" s="28">
        <f t="shared" si="13"/>
        <v>-114.69999999999982</v>
      </c>
      <c r="M155" s="29">
        <f t="shared" si="10"/>
        <v>2432.6999999999998</v>
      </c>
      <c r="N155" s="20">
        <f t="shared" si="11"/>
        <v>2318</v>
      </c>
      <c r="O155" s="29" t="e">
        <f>+#REF!</f>
        <v>#REF!</v>
      </c>
    </row>
    <row r="156" spans="1:15" x14ac:dyDescent="0.25">
      <c r="A156" s="3"/>
      <c r="B156" s="3"/>
      <c r="C156" s="18"/>
      <c r="D156" s="18" t="s">
        <v>138</v>
      </c>
      <c r="E156" s="24">
        <v>0</v>
      </c>
      <c r="F156" s="42"/>
      <c r="G156" s="25">
        <f t="shared" si="9"/>
        <v>0</v>
      </c>
      <c r="H156" s="42"/>
      <c r="I156" s="43">
        <v>0</v>
      </c>
      <c r="J156" s="20"/>
      <c r="K156" s="28"/>
      <c r="M156" s="29">
        <f t="shared" si="10"/>
        <v>0</v>
      </c>
      <c r="N156" s="20">
        <f t="shared" si="11"/>
        <v>0</v>
      </c>
      <c r="O156" s="29" t="e">
        <f>+#REF!</f>
        <v>#REF!</v>
      </c>
    </row>
    <row r="157" spans="1:15" s="47" customFormat="1" x14ac:dyDescent="0.25">
      <c r="A157" s="3"/>
      <c r="B157" s="3"/>
      <c r="C157" s="18"/>
      <c r="D157" s="18" t="s">
        <v>139</v>
      </c>
      <c r="E157" s="24">
        <v>0</v>
      </c>
      <c r="F157" s="42"/>
      <c r="G157" s="25">
        <f t="shared" si="9"/>
        <v>0</v>
      </c>
      <c r="H157" s="42"/>
      <c r="I157" s="43">
        <v>5500</v>
      </c>
      <c r="J157" s="20"/>
      <c r="K157" s="28">
        <f t="shared" si="13"/>
        <v>-5500</v>
      </c>
      <c r="L157"/>
      <c r="M157" s="29">
        <f t="shared" si="10"/>
        <v>5500</v>
      </c>
      <c r="N157" s="20">
        <f t="shared" si="11"/>
        <v>0</v>
      </c>
      <c r="O157" s="23">
        <v>5500</v>
      </c>
    </row>
    <row r="158" spans="1:15" s="47" customFormat="1" x14ac:dyDescent="0.25">
      <c r="A158" s="3"/>
      <c r="B158" s="3"/>
      <c r="C158" s="18"/>
      <c r="D158" s="18" t="s">
        <v>140</v>
      </c>
      <c r="E158" s="24">
        <v>0</v>
      </c>
      <c r="F158" s="42"/>
      <c r="G158" s="25">
        <f t="shared" si="9"/>
        <v>0</v>
      </c>
      <c r="H158" s="42"/>
      <c r="I158" s="43">
        <v>0</v>
      </c>
      <c r="J158" s="20"/>
      <c r="K158" s="28">
        <v>0</v>
      </c>
      <c r="L158"/>
      <c r="M158" s="29">
        <f t="shared" si="10"/>
        <v>0</v>
      </c>
      <c r="N158" s="20">
        <f t="shared" si="11"/>
        <v>0</v>
      </c>
      <c r="O158" s="23">
        <v>0</v>
      </c>
    </row>
    <row r="159" spans="1:15" x14ac:dyDescent="0.25">
      <c r="C159" s="18"/>
      <c r="D159" s="18" t="s">
        <v>141</v>
      </c>
      <c r="E159" s="24">
        <v>0</v>
      </c>
      <c r="F159" s="42"/>
      <c r="G159" s="25">
        <f t="shared" si="9"/>
        <v>0</v>
      </c>
      <c r="H159" s="42"/>
      <c r="I159" s="43">
        <v>2000</v>
      </c>
      <c r="J159" s="20"/>
      <c r="K159" s="28">
        <f t="shared" si="13"/>
        <v>-2000</v>
      </c>
      <c r="M159" s="29">
        <f t="shared" si="10"/>
        <v>2000</v>
      </c>
      <c r="N159" s="20">
        <f t="shared" si="11"/>
        <v>0</v>
      </c>
      <c r="O159" s="23">
        <v>2000</v>
      </c>
    </row>
    <row r="160" spans="1:15" x14ac:dyDescent="0.25">
      <c r="D160" s="18" t="s">
        <v>142</v>
      </c>
      <c r="E160" s="24">
        <v>0</v>
      </c>
      <c r="F160" s="42"/>
      <c r="G160" s="25">
        <f t="shared" si="9"/>
        <v>0</v>
      </c>
      <c r="H160" s="42"/>
      <c r="I160" s="43">
        <v>0</v>
      </c>
      <c r="J160" s="20"/>
      <c r="K160" s="28">
        <f t="shared" si="13"/>
        <v>0</v>
      </c>
      <c r="M160" s="29">
        <f t="shared" si="10"/>
        <v>0</v>
      </c>
      <c r="N160" s="20">
        <f t="shared" si="11"/>
        <v>0</v>
      </c>
      <c r="O160" s="23">
        <v>0</v>
      </c>
    </row>
    <row r="161" spans="3:15" x14ac:dyDescent="0.25">
      <c r="D161" s="18"/>
      <c r="E161" s="24"/>
      <c r="F161" s="42"/>
      <c r="G161" s="25"/>
      <c r="H161" s="42"/>
      <c r="I161" s="43"/>
      <c r="J161" s="20"/>
      <c r="K161" s="28"/>
      <c r="M161" s="29"/>
      <c r="N161" s="20"/>
      <c r="O161" s="23"/>
    </row>
    <row r="162" spans="3:15" x14ac:dyDescent="0.25">
      <c r="C162" s="18" t="s">
        <v>143</v>
      </c>
      <c r="D162" s="18"/>
      <c r="E162" s="24"/>
      <c r="F162" s="42"/>
      <c r="G162" s="25"/>
      <c r="H162" s="42"/>
      <c r="I162" s="43"/>
      <c r="J162" s="20"/>
      <c r="K162" s="28"/>
      <c r="M162" s="29"/>
      <c r="N162" s="20"/>
      <c r="O162" s="23"/>
    </row>
    <row r="163" spans="3:15" x14ac:dyDescent="0.25">
      <c r="C163" s="18"/>
      <c r="D163" s="18" t="s">
        <v>144</v>
      </c>
      <c r="E163" s="24">
        <v>102480.78</v>
      </c>
      <c r="F163" s="42"/>
      <c r="G163" s="25">
        <f>64931.48/8*12</f>
        <v>97397.22</v>
      </c>
      <c r="H163" s="42"/>
      <c r="I163" s="43">
        <v>96912.4</v>
      </c>
      <c r="J163" s="20"/>
      <c r="K163" s="28">
        <f t="shared" si="13"/>
        <v>484.82000000000698</v>
      </c>
      <c r="M163" s="29">
        <f t="shared" si="10"/>
        <v>96912.4</v>
      </c>
      <c r="N163" s="20">
        <f t="shared" si="11"/>
        <v>97397.22</v>
      </c>
      <c r="O163" s="29" t="e">
        <f>+#REF!</f>
        <v>#REF!</v>
      </c>
    </row>
    <row r="164" spans="3:15" x14ac:dyDescent="0.25">
      <c r="C164" s="18"/>
      <c r="D164" s="18" t="s">
        <v>145</v>
      </c>
      <c r="E164" s="24">
        <v>9404.7099999999991</v>
      </c>
      <c r="F164" s="42"/>
      <c r="G164" s="25">
        <f>5005.79/8*12</f>
        <v>7508.6849999999995</v>
      </c>
      <c r="H164" s="42"/>
      <c r="I164" s="43">
        <v>7795.95</v>
      </c>
      <c r="J164" s="20"/>
      <c r="K164" s="28">
        <f t="shared" si="13"/>
        <v>-287.26500000000033</v>
      </c>
      <c r="M164" s="29">
        <f t="shared" si="10"/>
        <v>7795.95</v>
      </c>
      <c r="N164" s="20">
        <f t="shared" si="11"/>
        <v>7508.6849999999995</v>
      </c>
      <c r="O164" s="29" t="e">
        <f>+#REF!</f>
        <v>#REF!</v>
      </c>
    </row>
    <row r="165" spans="3:15" x14ac:dyDescent="0.25">
      <c r="C165" s="18"/>
      <c r="D165" s="18" t="s">
        <v>146</v>
      </c>
      <c r="E165" s="24">
        <v>385</v>
      </c>
      <c r="F165" s="42"/>
      <c r="G165" s="25">
        <v>0</v>
      </c>
      <c r="H165" s="42"/>
      <c r="I165" s="43">
        <v>4455.62</v>
      </c>
      <c r="J165" s="20"/>
      <c r="K165" s="28">
        <f t="shared" si="13"/>
        <v>-4455.62</v>
      </c>
      <c r="M165" s="29">
        <f t="shared" si="10"/>
        <v>4455.62</v>
      </c>
      <c r="N165" s="20">
        <f t="shared" si="11"/>
        <v>0</v>
      </c>
      <c r="O165" s="29" t="e">
        <f>+#REF!</f>
        <v>#REF!</v>
      </c>
    </row>
    <row r="166" spans="3:15" x14ac:dyDescent="0.25">
      <c r="C166" s="18"/>
      <c r="D166" s="18" t="s">
        <v>147</v>
      </c>
      <c r="E166" s="24">
        <v>24890.21</v>
      </c>
      <c r="F166" s="42"/>
      <c r="G166" s="25">
        <f>4853.69/8*12</f>
        <v>7280.5349999999999</v>
      </c>
      <c r="H166" s="42"/>
      <c r="I166" s="43">
        <v>2418.8200000000002</v>
      </c>
      <c r="J166" s="20"/>
      <c r="K166" s="28">
        <f t="shared" si="13"/>
        <v>4861.7150000000001</v>
      </c>
      <c r="M166" s="29">
        <f t="shared" si="10"/>
        <v>2418.8200000000002</v>
      </c>
      <c r="N166" s="20">
        <f t="shared" si="11"/>
        <v>7280.5349999999999</v>
      </c>
      <c r="O166" s="29" t="e">
        <f>+#REF!</f>
        <v>#REF!</v>
      </c>
    </row>
    <row r="167" spans="3:15" x14ac:dyDescent="0.25">
      <c r="C167" s="18"/>
      <c r="D167" s="18" t="s">
        <v>148</v>
      </c>
      <c r="E167" s="24">
        <v>0</v>
      </c>
      <c r="F167" s="42"/>
      <c r="G167" s="25">
        <f t="shared" ref="G167:G228" si="14">ROUND(E167/9*12,0)</f>
        <v>0</v>
      </c>
      <c r="H167" s="42"/>
      <c r="I167" s="43">
        <v>0</v>
      </c>
      <c r="J167" s="20"/>
      <c r="K167" s="28">
        <f t="shared" si="13"/>
        <v>0</v>
      </c>
      <c r="M167" s="29">
        <f t="shared" ref="M167:M228" si="15">+I167</f>
        <v>0</v>
      </c>
      <c r="N167" s="20">
        <f t="shared" si="11"/>
        <v>0</v>
      </c>
      <c r="O167" s="29" t="e">
        <f>+#REF!</f>
        <v>#REF!</v>
      </c>
    </row>
    <row r="168" spans="3:15" x14ac:dyDescent="0.25">
      <c r="C168" s="18"/>
      <c r="D168" s="18" t="s">
        <v>149</v>
      </c>
      <c r="E168" s="24">
        <v>36925.800000000003</v>
      </c>
      <c r="F168" s="42"/>
      <c r="G168" s="25"/>
      <c r="H168" s="42"/>
      <c r="I168" s="43">
        <v>62000</v>
      </c>
      <c r="J168" s="20"/>
      <c r="K168" s="28">
        <f t="shared" si="13"/>
        <v>-62000</v>
      </c>
      <c r="M168" s="29">
        <f t="shared" si="15"/>
        <v>62000</v>
      </c>
      <c r="N168" s="20">
        <f t="shared" si="11"/>
        <v>0</v>
      </c>
      <c r="O168" s="23"/>
    </row>
    <row r="169" spans="3:15" x14ac:dyDescent="0.25">
      <c r="C169" s="18"/>
      <c r="D169" s="18" t="s">
        <v>150</v>
      </c>
      <c r="E169" s="24"/>
      <c r="F169" s="42"/>
      <c r="G169" s="25">
        <f>19692.3/10*12</f>
        <v>23630.760000000002</v>
      </c>
      <c r="H169" s="42"/>
      <c r="I169" s="43"/>
      <c r="J169" s="20"/>
      <c r="K169" s="28"/>
      <c r="M169" s="29">
        <f t="shared" si="15"/>
        <v>0</v>
      </c>
      <c r="N169" s="20">
        <f t="shared" si="11"/>
        <v>23630.760000000002</v>
      </c>
      <c r="O169" s="23">
        <v>30000</v>
      </c>
    </row>
    <row r="170" spans="3:15" x14ac:dyDescent="0.25">
      <c r="C170" s="18"/>
      <c r="D170" s="18" t="s">
        <v>151</v>
      </c>
      <c r="E170" s="24"/>
      <c r="F170" s="42"/>
      <c r="G170" s="25">
        <f>21269.5/10*12-3000</f>
        <v>22523.399999999998</v>
      </c>
      <c r="H170" s="42"/>
      <c r="I170" s="43"/>
      <c r="J170" s="20"/>
      <c r="K170" s="28"/>
      <c r="M170" s="29">
        <f t="shared" si="15"/>
        <v>0</v>
      </c>
      <c r="N170" s="20">
        <f t="shared" si="11"/>
        <v>22523.399999999998</v>
      </c>
      <c r="O170" s="23">
        <v>20000</v>
      </c>
    </row>
    <row r="171" spans="3:15" x14ac:dyDescent="0.25">
      <c r="C171" s="18"/>
      <c r="D171" s="18" t="s">
        <v>152</v>
      </c>
      <c r="E171" s="24">
        <v>0</v>
      </c>
      <c r="F171" s="42"/>
      <c r="G171" s="25">
        <v>20000</v>
      </c>
      <c r="H171" s="42"/>
      <c r="I171" s="43">
        <v>20000</v>
      </c>
      <c r="J171" s="20"/>
      <c r="K171" s="28">
        <f t="shared" si="13"/>
        <v>0</v>
      </c>
      <c r="M171" s="29">
        <f t="shared" si="15"/>
        <v>20000</v>
      </c>
      <c r="N171" s="20">
        <f t="shared" si="11"/>
        <v>20000</v>
      </c>
      <c r="O171" s="23">
        <v>20000</v>
      </c>
    </row>
    <row r="172" spans="3:15" x14ac:dyDescent="0.25">
      <c r="C172" s="18"/>
      <c r="D172" s="18" t="s">
        <v>153</v>
      </c>
      <c r="E172" s="24">
        <v>154.19999999999999</v>
      </c>
      <c r="F172" s="42"/>
      <c r="G172" s="25">
        <v>154.19999999999999</v>
      </c>
      <c r="H172" s="42"/>
      <c r="I172" s="43">
        <v>100</v>
      </c>
      <c r="J172" s="20"/>
      <c r="K172" s="28">
        <f t="shared" si="13"/>
        <v>54.199999999999989</v>
      </c>
      <c r="M172" s="29">
        <f t="shared" si="15"/>
        <v>100</v>
      </c>
      <c r="N172" s="20">
        <f t="shared" si="11"/>
        <v>154.19999999999999</v>
      </c>
      <c r="O172" s="23">
        <v>100</v>
      </c>
    </row>
    <row r="173" spans="3:15" x14ac:dyDescent="0.25">
      <c r="C173" s="18"/>
      <c r="D173" s="18" t="s">
        <v>154</v>
      </c>
      <c r="E173" s="24">
        <v>0</v>
      </c>
      <c r="F173" s="42"/>
      <c r="G173" s="25">
        <v>0</v>
      </c>
      <c r="H173" s="42"/>
      <c r="I173" s="43">
        <v>2000</v>
      </c>
      <c r="J173" s="20"/>
      <c r="K173" s="28">
        <f t="shared" si="13"/>
        <v>-2000</v>
      </c>
      <c r="M173" s="29">
        <f t="shared" si="15"/>
        <v>2000</v>
      </c>
      <c r="N173" s="20">
        <f t="shared" si="11"/>
        <v>0</v>
      </c>
      <c r="O173" s="23">
        <v>2000</v>
      </c>
    </row>
    <row r="174" spans="3:15" x14ac:dyDescent="0.25">
      <c r="C174" s="18"/>
      <c r="D174" s="18" t="s">
        <v>155</v>
      </c>
      <c r="E174" s="24">
        <f>4138.1+107.32</f>
        <v>4245.42</v>
      </c>
      <c r="F174" s="42"/>
      <c r="G174" s="25">
        <f>3803.09/8*12+7103</f>
        <v>12807.635</v>
      </c>
      <c r="H174" s="42"/>
      <c r="I174" s="43">
        <v>5000</v>
      </c>
      <c r="J174" s="20"/>
      <c r="K174" s="28">
        <f t="shared" si="13"/>
        <v>7807.6350000000002</v>
      </c>
      <c r="M174" s="29">
        <f t="shared" si="15"/>
        <v>5000</v>
      </c>
      <c r="N174" s="20">
        <f t="shared" si="11"/>
        <v>12807.635</v>
      </c>
      <c r="O174" s="23">
        <f>5500+3000</f>
        <v>8500</v>
      </c>
    </row>
    <row r="175" spans="3:15" x14ac:dyDescent="0.25">
      <c r="C175" s="18"/>
      <c r="D175" s="18" t="s">
        <v>156</v>
      </c>
      <c r="E175" s="24">
        <v>254.66</v>
      </c>
      <c r="F175" s="42"/>
      <c r="G175" s="25">
        <f t="shared" si="14"/>
        <v>340</v>
      </c>
      <c r="H175" s="42"/>
      <c r="I175" s="43">
        <v>1000</v>
      </c>
      <c r="J175" s="20"/>
      <c r="K175" s="28">
        <f t="shared" si="13"/>
        <v>-660</v>
      </c>
      <c r="M175" s="29">
        <f t="shared" si="15"/>
        <v>1000</v>
      </c>
      <c r="N175" s="20">
        <f t="shared" si="11"/>
        <v>340</v>
      </c>
      <c r="O175" s="23">
        <v>1000</v>
      </c>
    </row>
    <row r="176" spans="3:15" x14ac:dyDescent="0.25">
      <c r="C176" s="18"/>
      <c r="D176" s="18" t="s">
        <v>157</v>
      </c>
      <c r="E176" s="24">
        <v>3880.59</v>
      </c>
      <c r="F176" s="42"/>
      <c r="G176" s="25">
        <f>ROUND(E176/9*12,0)+1000</f>
        <v>6174</v>
      </c>
      <c r="H176" s="42"/>
      <c r="I176" s="43">
        <v>4500</v>
      </c>
      <c r="J176" s="20"/>
      <c r="K176" s="28">
        <f t="shared" si="13"/>
        <v>1674</v>
      </c>
      <c r="M176" s="29">
        <f t="shared" si="15"/>
        <v>4500</v>
      </c>
      <c r="N176" s="20">
        <f t="shared" si="11"/>
        <v>6174</v>
      </c>
      <c r="O176" s="23">
        <v>4500</v>
      </c>
    </row>
    <row r="177" spans="3:15" x14ac:dyDescent="0.25">
      <c r="C177" s="18"/>
      <c r="D177" s="18" t="s">
        <v>158</v>
      </c>
      <c r="E177" s="24">
        <v>3731.73</v>
      </c>
      <c r="F177" s="42"/>
      <c r="G177" s="25">
        <f t="shared" si="14"/>
        <v>4976</v>
      </c>
      <c r="H177" s="42"/>
      <c r="I177" s="43">
        <v>4566</v>
      </c>
      <c r="J177" s="20"/>
      <c r="K177" s="28">
        <f t="shared" si="13"/>
        <v>410</v>
      </c>
      <c r="M177" s="29">
        <f t="shared" si="15"/>
        <v>4566</v>
      </c>
      <c r="N177" s="20">
        <f t="shared" si="11"/>
        <v>4976</v>
      </c>
      <c r="O177" s="23">
        <v>5000</v>
      </c>
    </row>
    <row r="178" spans="3:15" x14ac:dyDescent="0.25">
      <c r="C178" s="18"/>
      <c r="D178" s="18" t="s">
        <v>159</v>
      </c>
      <c r="E178" s="24">
        <v>4678.2299999999996</v>
      </c>
      <c r="F178" s="42"/>
      <c r="G178" s="25">
        <f t="shared" si="14"/>
        <v>6238</v>
      </c>
      <c r="H178" s="42"/>
      <c r="I178" s="43">
        <v>9602</v>
      </c>
      <c r="J178" s="20"/>
      <c r="K178" s="28">
        <f t="shared" si="13"/>
        <v>-3364</v>
      </c>
      <c r="M178" s="29">
        <f t="shared" si="15"/>
        <v>9602</v>
      </c>
      <c r="N178" s="20">
        <f t="shared" si="11"/>
        <v>6238</v>
      </c>
      <c r="O178" s="23">
        <f>+[1]Insurance!H9</f>
        <v>9602</v>
      </c>
    </row>
    <row r="179" spans="3:15" x14ac:dyDescent="0.25">
      <c r="C179" s="18"/>
      <c r="D179" s="18" t="s">
        <v>160</v>
      </c>
      <c r="E179" s="24">
        <v>2594.66</v>
      </c>
      <c r="F179" s="42"/>
      <c r="G179" s="25">
        <f t="shared" si="14"/>
        <v>3460</v>
      </c>
      <c r="H179" s="42"/>
      <c r="I179" s="43">
        <v>5000</v>
      </c>
      <c r="J179" s="20"/>
      <c r="K179" s="28">
        <f t="shared" si="13"/>
        <v>-1540</v>
      </c>
      <c r="M179" s="29">
        <f t="shared" si="15"/>
        <v>5000</v>
      </c>
      <c r="N179" s="20">
        <f t="shared" si="11"/>
        <v>3460</v>
      </c>
      <c r="O179" s="23">
        <v>5000</v>
      </c>
    </row>
    <row r="180" spans="3:15" x14ac:dyDescent="0.25">
      <c r="C180" s="18"/>
      <c r="D180" s="18" t="s">
        <v>161</v>
      </c>
      <c r="E180" s="24">
        <v>2564.6799999999998</v>
      </c>
      <c r="F180" s="42"/>
      <c r="G180" s="25">
        <f t="shared" si="14"/>
        <v>3420</v>
      </c>
      <c r="H180" s="42"/>
      <c r="I180" s="43">
        <v>5000</v>
      </c>
      <c r="J180" s="20"/>
      <c r="K180" s="28">
        <f t="shared" si="13"/>
        <v>-1580</v>
      </c>
      <c r="M180" s="29">
        <f t="shared" si="15"/>
        <v>5000</v>
      </c>
      <c r="N180" s="20">
        <f t="shared" si="11"/>
        <v>3420</v>
      </c>
      <c r="O180" s="23">
        <v>5000</v>
      </c>
    </row>
    <row r="181" spans="3:15" x14ac:dyDescent="0.25">
      <c r="C181" s="18"/>
      <c r="D181" s="18" t="s">
        <v>162</v>
      </c>
      <c r="E181" s="24">
        <v>3662.7</v>
      </c>
      <c r="F181" s="42"/>
      <c r="G181" s="25">
        <f t="shared" si="14"/>
        <v>4884</v>
      </c>
      <c r="H181" s="42"/>
      <c r="I181" s="43">
        <v>6000</v>
      </c>
      <c r="J181" s="20"/>
      <c r="K181" s="28">
        <f t="shared" si="13"/>
        <v>-1116</v>
      </c>
      <c r="M181" s="29">
        <f t="shared" si="15"/>
        <v>6000</v>
      </c>
      <c r="N181" s="20">
        <f t="shared" si="11"/>
        <v>4884</v>
      </c>
      <c r="O181" s="23">
        <v>6000</v>
      </c>
    </row>
    <row r="182" spans="3:15" x14ac:dyDescent="0.25">
      <c r="C182" s="18"/>
      <c r="D182" s="18" t="s">
        <v>163</v>
      </c>
      <c r="E182" s="24">
        <v>639.49</v>
      </c>
      <c r="F182" s="42"/>
      <c r="G182" s="25">
        <f t="shared" si="14"/>
        <v>853</v>
      </c>
      <c r="H182" s="42"/>
      <c r="I182" s="43">
        <v>1000</v>
      </c>
      <c r="J182" s="20"/>
      <c r="K182" s="28">
        <f t="shared" si="13"/>
        <v>-147</v>
      </c>
      <c r="M182" s="29">
        <f t="shared" si="15"/>
        <v>1000</v>
      </c>
      <c r="N182" s="20">
        <f t="shared" si="11"/>
        <v>853</v>
      </c>
      <c r="O182" s="23">
        <v>1000</v>
      </c>
    </row>
    <row r="183" spans="3:15" x14ac:dyDescent="0.25">
      <c r="C183" s="18"/>
      <c r="D183" s="18" t="s">
        <v>164</v>
      </c>
      <c r="E183" s="24">
        <v>9807.9500000000007</v>
      </c>
      <c r="F183" s="42"/>
      <c r="G183" s="25">
        <f>ROUND(E183/9*12,0)-7103</f>
        <v>5974</v>
      </c>
      <c r="H183" s="42"/>
      <c r="I183" s="43">
        <v>4000</v>
      </c>
      <c r="J183" s="20"/>
      <c r="K183" s="28">
        <f t="shared" si="13"/>
        <v>1974</v>
      </c>
      <c r="M183" s="29">
        <f t="shared" si="15"/>
        <v>4000</v>
      </c>
      <c r="N183" s="20">
        <f t="shared" si="11"/>
        <v>5974</v>
      </c>
      <c r="O183" s="23">
        <v>4000</v>
      </c>
    </row>
    <row r="184" spans="3:15" x14ac:dyDescent="0.25">
      <c r="C184" s="18"/>
      <c r="D184" s="18" t="s">
        <v>165</v>
      </c>
      <c r="E184" s="24">
        <v>0</v>
      </c>
      <c r="F184" s="42"/>
      <c r="G184" s="25">
        <f t="shared" si="14"/>
        <v>0</v>
      </c>
      <c r="H184" s="42"/>
      <c r="I184" s="43">
        <v>0</v>
      </c>
      <c r="J184" s="20"/>
      <c r="K184" s="28">
        <f t="shared" si="13"/>
        <v>0</v>
      </c>
      <c r="M184" s="29">
        <f t="shared" si="15"/>
        <v>0</v>
      </c>
      <c r="N184" s="20">
        <f t="shared" si="11"/>
        <v>0</v>
      </c>
      <c r="O184" s="23">
        <v>0</v>
      </c>
    </row>
    <row r="185" spans="3:15" x14ac:dyDescent="0.25">
      <c r="D185" s="18" t="s">
        <v>166</v>
      </c>
      <c r="E185" s="24">
        <v>0</v>
      </c>
      <c r="F185" s="42"/>
      <c r="G185" s="25">
        <f t="shared" si="14"/>
        <v>0</v>
      </c>
      <c r="H185" s="42"/>
      <c r="I185" s="43"/>
      <c r="J185" s="20"/>
      <c r="K185" s="28">
        <f t="shared" si="13"/>
        <v>0</v>
      </c>
      <c r="M185" s="29">
        <f t="shared" si="15"/>
        <v>0</v>
      </c>
      <c r="N185" s="20">
        <f t="shared" si="11"/>
        <v>0</v>
      </c>
      <c r="O185" s="23"/>
    </row>
    <row r="186" spans="3:15" x14ac:dyDescent="0.25">
      <c r="C186" s="18"/>
      <c r="D186" s="18"/>
      <c r="E186" s="24"/>
      <c r="F186" s="42"/>
      <c r="G186" s="25"/>
      <c r="H186" s="42"/>
      <c r="I186" s="43"/>
      <c r="J186" s="20"/>
      <c r="K186" s="28"/>
      <c r="M186" s="29"/>
      <c r="N186" s="20"/>
      <c r="O186" s="23"/>
    </row>
    <row r="187" spans="3:15" x14ac:dyDescent="0.25">
      <c r="C187" s="18" t="s">
        <v>167</v>
      </c>
      <c r="D187" s="18"/>
      <c r="E187" s="24"/>
      <c r="F187" s="42"/>
      <c r="G187" s="25"/>
      <c r="H187" s="42"/>
      <c r="I187" s="43"/>
      <c r="J187" s="20"/>
      <c r="K187" s="28"/>
      <c r="M187" s="29"/>
      <c r="N187" s="20"/>
      <c r="O187" s="23"/>
    </row>
    <row r="188" spans="3:15" x14ac:dyDescent="0.25">
      <c r="C188" s="18"/>
      <c r="D188" s="18" t="s">
        <v>168</v>
      </c>
      <c r="E188" s="24">
        <v>0</v>
      </c>
      <c r="F188" s="42"/>
      <c r="G188" s="25">
        <f t="shared" si="14"/>
        <v>0</v>
      </c>
      <c r="H188" s="42"/>
      <c r="I188" s="43">
        <v>10000</v>
      </c>
      <c r="J188" s="20"/>
      <c r="K188" s="28">
        <f t="shared" si="13"/>
        <v>-10000</v>
      </c>
      <c r="M188" s="29">
        <f t="shared" si="15"/>
        <v>10000</v>
      </c>
      <c r="N188" s="20">
        <f t="shared" si="11"/>
        <v>0</v>
      </c>
      <c r="O188" s="23">
        <v>50000</v>
      </c>
    </row>
    <row r="189" spans="3:15" x14ac:dyDescent="0.25">
      <c r="C189" s="18"/>
      <c r="D189" s="18"/>
      <c r="E189" s="24"/>
      <c r="F189" s="42"/>
      <c r="G189" s="25"/>
      <c r="H189" s="42"/>
      <c r="I189" s="43"/>
      <c r="J189" s="20"/>
      <c r="K189" s="28"/>
      <c r="M189" s="29"/>
      <c r="N189" s="20"/>
      <c r="O189" s="23"/>
    </row>
    <row r="190" spans="3:15" x14ac:dyDescent="0.25">
      <c r="C190" s="18" t="s">
        <v>169</v>
      </c>
      <c r="D190" s="18"/>
      <c r="E190" s="24"/>
      <c r="F190" s="42"/>
      <c r="G190" s="25"/>
      <c r="H190" s="42"/>
      <c r="I190" s="43"/>
      <c r="J190" s="20"/>
      <c r="K190" s="28"/>
      <c r="M190" s="29"/>
      <c r="N190" s="20"/>
      <c r="O190" s="23"/>
    </row>
    <row r="191" spans="3:15" x14ac:dyDescent="0.25">
      <c r="C191" s="18"/>
      <c r="D191" s="18" t="s">
        <v>170</v>
      </c>
      <c r="E191" s="24">
        <v>0</v>
      </c>
      <c r="F191" s="42"/>
      <c r="G191" s="25">
        <f t="shared" si="14"/>
        <v>0</v>
      </c>
      <c r="H191" s="42"/>
      <c r="I191" s="43">
        <v>0</v>
      </c>
      <c r="J191" s="20"/>
      <c r="K191" s="28">
        <f t="shared" si="13"/>
        <v>0</v>
      </c>
      <c r="M191" s="29">
        <f t="shared" si="15"/>
        <v>0</v>
      </c>
      <c r="N191" s="20">
        <f t="shared" si="11"/>
        <v>0</v>
      </c>
      <c r="O191" s="23">
        <v>0</v>
      </c>
    </row>
    <row r="192" spans="3:15" x14ac:dyDescent="0.25">
      <c r="C192" s="18"/>
      <c r="D192" s="18"/>
      <c r="E192" s="24"/>
      <c r="F192" s="42"/>
      <c r="G192" s="25"/>
      <c r="H192" s="42"/>
      <c r="I192" s="43"/>
      <c r="J192" s="20"/>
      <c r="K192" s="28"/>
      <c r="M192" s="29"/>
      <c r="N192" s="20"/>
      <c r="O192" s="23"/>
    </row>
    <row r="193" spans="3:15" x14ac:dyDescent="0.25">
      <c r="C193" s="18" t="s">
        <v>171</v>
      </c>
      <c r="D193" s="18"/>
      <c r="E193" s="24"/>
      <c r="F193" s="42"/>
      <c r="G193" s="25"/>
      <c r="H193" s="42"/>
      <c r="I193" s="43"/>
      <c r="J193" s="20"/>
      <c r="K193" s="28"/>
      <c r="M193" s="29"/>
      <c r="N193" s="20"/>
      <c r="O193" s="23"/>
    </row>
    <row r="194" spans="3:15" x14ac:dyDescent="0.25">
      <c r="C194" s="18"/>
      <c r="D194" s="18" t="s">
        <v>172</v>
      </c>
      <c r="E194" s="24">
        <v>0</v>
      </c>
      <c r="F194" s="42"/>
      <c r="G194" s="25">
        <f t="shared" si="14"/>
        <v>0</v>
      </c>
      <c r="H194" s="42"/>
      <c r="I194" s="43"/>
      <c r="J194" s="20"/>
      <c r="K194" s="28">
        <f t="shared" si="13"/>
        <v>0</v>
      </c>
      <c r="M194" s="29">
        <f t="shared" si="15"/>
        <v>0</v>
      </c>
      <c r="N194" s="20">
        <f t="shared" si="11"/>
        <v>0</v>
      </c>
      <c r="O194" s="23"/>
    </row>
    <row r="195" spans="3:15" x14ac:dyDescent="0.25">
      <c r="C195" s="18"/>
      <c r="D195" s="18" t="s">
        <v>173</v>
      </c>
      <c r="E195" s="24">
        <v>0</v>
      </c>
      <c r="F195" s="42"/>
      <c r="G195" s="25">
        <f t="shared" si="14"/>
        <v>0</v>
      </c>
      <c r="H195" s="42"/>
      <c r="I195" s="43">
        <v>0</v>
      </c>
      <c r="J195" s="20"/>
      <c r="K195" s="28">
        <f t="shared" si="13"/>
        <v>0</v>
      </c>
      <c r="M195" s="29">
        <f t="shared" si="15"/>
        <v>0</v>
      </c>
      <c r="N195" s="20">
        <f t="shared" si="11"/>
        <v>0</v>
      </c>
      <c r="O195" s="23">
        <v>0</v>
      </c>
    </row>
    <row r="196" spans="3:15" x14ac:dyDescent="0.25">
      <c r="C196" s="18"/>
      <c r="D196" s="18" t="s">
        <v>174</v>
      </c>
      <c r="E196" s="24">
        <v>0</v>
      </c>
      <c r="F196" s="42"/>
      <c r="G196" s="25">
        <f t="shared" si="14"/>
        <v>0</v>
      </c>
      <c r="H196" s="42"/>
      <c r="I196" s="43">
        <v>0</v>
      </c>
      <c r="J196" s="20"/>
      <c r="K196" s="28">
        <f t="shared" si="13"/>
        <v>0</v>
      </c>
      <c r="M196" s="29">
        <f t="shared" si="15"/>
        <v>0</v>
      </c>
      <c r="N196" s="20">
        <f t="shared" si="11"/>
        <v>0</v>
      </c>
      <c r="O196" s="23">
        <f>SUM([1]Payroll!K14:K16)</f>
        <v>0</v>
      </c>
    </row>
    <row r="197" spans="3:15" x14ac:dyDescent="0.25">
      <c r="C197" s="18"/>
      <c r="D197" s="18" t="s">
        <v>175</v>
      </c>
      <c r="E197" s="24">
        <v>0</v>
      </c>
      <c r="F197" s="42"/>
      <c r="G197" s="25">
        <f t="shared" si="14"/>
        <v>0</v>
      </c>
      <c r="H197" s="42"/>
      <c r="I197" s="43">
        <v>0</v>
      </c>
      <c r="J197" s="20"/>
      <c r="K197" s="28">
        <f t="shared" si="13"/>
        <v>0</v>
      </c>
      <c r="M197" s="29">
        <f t="shared" si="15"/>
        <v>0</v>
      </c>
      <c r="N197" s="20">
        <f t="shared" si="11"/>
        <v>0</v>
      </c>
      <c r="O197" s="23">
        <f>SUM([1]Payroll!M14:M18)</f>
        <v>0</v>
      </c>
    </row>
    <row r="198" spans="3:15" x14ac:dyDescent="0.25">
      <c r="C198" s="18"/>
      <c r="D198" s="18" t="s">
        <v>176</v>
      </c>
      <c r="E198" s="24">
        <v>0</v>
      </c>
      <c r="F198" s="42"/>
      <c r="G198" s="25">
        <f t="shared" si="14"/>
        <v>0</v>
      </c>
      <c r="H198" s="42"/>
      <c r="I198" s="43">
        <v>0</v>
      </c>
      <c r="J198" s="20"/>
      <c r="K198" s="28">
        <v>0</v>
      </c>
      <c r="M198" s="29">
        <f t="shared" si="15"/>
        <v>0</v>
      </c>
      <c r="N198" s="20">
        <f t="shared" si="11"/>
        <v>0</v>
      </c>
      <c r="O198" s="23">
        <f>SUM([1]Payroll!I14:I18)</f>
        <v>0</v>
      </c>
    </row>
    <row r="199" spans="3:15" x14ac:dyDescent="0.25">
      <c r="C199" s="18"/>
      <c r="D199" s="18" t="s">
        <v>177</v>
      </c>
      <c r="E199" s="24">
        <v>0</v>
      </c>
      <c r="F199" s="42"/>
      <c r="G199" s="25">
        <f t="shared" si="14"/>
        <v>0</v>
      </c>
      <c r="H199" s="42"/>
      <c r="I199" s="43">
        <v>0</v>
      </c>
      <c r="J199" s="20"/>
      <c r="K199" s="28">
        <f t="shared" si="13"/>
        <v>0</v>
      </c>
      <c r="M199" s="29">
        <f t="shared" si="15"/>
        <v>0</v>
      </c>
      <c r="N199" s="20">
        <f t="shared" si="11"/>
        <v>0</v>
      </c>
      <c r="O199" s="23">
        <f>SUM([1]Payroll!Q14:Q18)</f>
        <v>0</v>
      </c>
    </row>
    <row r="200" spans="3:15" x14ac:dyDescent="0.25">
      <c r="C200" s="18"/>
      <c r="D200" s="18" t="s">
        <v>178</v>
      </c>
      <c r="E200" s="24">
        <v>82500</v>
      </c>
      <c r="F200" s="42"/>
      <c r="G200" s="25">
        <f>ROUND(E200/10*12,0)</f>
        <v>99000</v>
      </c>
      <c r="H200" s="42"/>
      <c r="I200" s="43">
        <v>102000</v>
      </c>
      <c r="J200" s="20"/>
      <c r="K200" s="28">
        <f t="shared" si="13"/>
        <v>-3000</v>
      </c>
      <c r="M200" s="29">
        <f t="shared" si="15"/>
        <v>102000</v>
      </c>
      <c r="N200" s="20">
        <f t="shared" si="11"/>
        <v>99000</v>
      </c>
      <c r="O200" s="44">
        <f>8500*12</f>
        <v>102000</v>
      </c>
    </row>
    <row r="201" spans="3:15" x14ac:dyDescent="0.25">
      <c r="C201" s="18"/>
      <c r="D201" s="18" t="s">
        <v>179</v>
      </c>
      <c r="E201" s="24">
        <v>0</v>
      </c>
      <c r="F201" s="42"/>
      <c r="G201" s="25">
        <f t="shared" si="14"/>
        <v>0</v>
      </c>
      <c r="H201" s="42"/>
      <c r="I201" s="43">
        <v>0</v>
      </c>
      <c r="J201" s="20"/>
      <c r="K201" s="28">
        <f t="shared" si="13"/>
        <v>0</v>
      </c>
      <c r="M201" s="29">
        <f t="shared" si="15"/>
        <v>0</v>
      </c>
      <c r="N201" s="20">
        <f t="shared" si="11"/>
        <v>0</v>
      </c>
      <c r="O201" s="23">
        <v>0</v>
      </c>
    </row>
    <row r="202" spans="3:15" x14ac:dyDescent="0.25">
      <c r="C202" s="18"/>
      <c r="D202" s="18" t="s">
        <v>180</v>
      </c>
      <c r="E202" s="24">
        <v>0</v>
      </c>
      <c r="F202" s="42"/>
      <c r="G202" s="25">
        <f t="shared" si="14"/>
        <v>0</v>
      </c>
      <c r="H202" s="42"/>
      <c r="I202" s="43">
        <v>0</v>
      </c>
      <c r="J202" s="20"/>
      <c r="K202" s="28">
        <f t="shared" si="13"/>
        <v>0</v>
      </c>
      <c r="M202" s="29">
        <f t="shared" si="15"/>
        <v>0</v>
      </c>
      <c r="N202" s="20">
        <f t="shared" si="11"/>
        <v>0</v>
      </c>
      <c r="O202" s="23">
        <v>0</v>
      </c>
    </row>
    <row r="203" spans="3:15" x14ac:dyDescent="0.25">
      <c r="C203" s="18"/>
      <c r="D203" s="18" t="s">
        <v>181</v>
      </c>
      <c r="E203" s="24">
        <v>0</v>
      </c>
      <c r="F203" s="42"/>
      <c r="G203" s="25">
        <f t="shared" si="14"/>
        <v>0</v>
      </c>
      <c r="H203" s="42"/>
      <c r="I203" s="43">
        <v>0</v>
      </c>
      <c r="J203" s="20"/>
      <c r="K203" s="28">
        <f t="shared" si="13"/>
        <v>0</v>
      </c>
      <c r="M203" s="29">
        <f t="shared" si="15"/>
        <v>0</v>
      </c>
      <c r="N203" s="20">
        <f t="shared" si="11"/>
        <v>0</v>
      </c>
      <c r="O203" s="23">
        <v>0</v>
      </c>
    </row>
    <row r="204" spans="3:15" x14ac:dyDescent="0.25">
      <c r="C204" s="18"/>
      <c r="D204" s="18" t="s">
        <v>182</v>
      </c>
      <c r="E204" s="24">
        <v>5568.3</v>
      </c>
      <c r="F204" s="42"/>
      <c r="G204" s="25">
        <f t="shared" si="14"/>
        <v>7424</v>
      </c>
      <c r="H204" s="42"/>
      <c r="I204" s="43">
        <v>0</v>
      </c>
      <c r="J204" s="20"/>
      <c r="K204" s="28">
        <f t="shared" si="13"/>
        <v>7424</v>
      </c>
      <c r="M204" s="29">
        <f t="shared" si="15"/>
        <v>0</v>
      </c>
      <c r="N204" s="20">
        <f t="shared" si="11"/>
        <v>7424</v>
      </c>
      <c r="O204" s="23">
        <v>0</v>
      </c>
    </row>
    <row r="205" spans="3:15" x14ac:dyDescent="0.25">
      <c r="C205" s="18"/>
      <c r="D205" s="18" t="s">
        <v>183</v>
      </c>
      <c r="E205" s="24">
        <v>0</v>
      </c>
      <c r="F205" s="42"/>
      <c r="G205" s="25">
        <f t="shared" si="14"/>
        <v>0</v>
      </c>
      <c r="H205" s="42"/>
      <c r="I205" s="43">
        <v>0</v>
      </c>
      <c r="J205" s="20"/>
      <c r="K205" s="28">
        <f t="shared" si="13"/>
        <v>0</v>
      </c>
      <c r="M205" s="29">
        <f t="shared" si="15"/>
        <v>0</v>
      </c>
      <c r="N205" s="20">
        <f t="shared" si="11"/>
        <v>0</v>
      </c>
      <c r="O205" s="23">
        <v>0</v>
      </c>
    </row>
    <row r="206" spans="3:15" x14ac:dyDescent="0.25">
      <c r="C206" s="18"/>
      <c r="D206" s="18" t="s">
        <v>184</v>
      </c>
      <c r="E206" s="24">
        <v>388.41</v>
      </c>
      <c r="F206" s="42"/>
      <c r="G206" s="25">
        <f t="shared" si="14"/>
        <v>518</v>
      </c>
      <c r="H206" s="42"/>
      <c r="I206" s="43">
        <v>0</v>
      </c>
      <c r="J206" s="20"/>
      <c r="K206" s="28">
        <f t="shared" si="13"/>
        <v>518</v>
      </c>
      <c r="M206" s="29">
        <f t="shared" si="15"/>
        <v>0</v>
      </c>
      <c r="N206" s="20">
        <f t="shared" si="11"/>
        <v>518</v>
      </c>
      <c r="O206" s="23">
        <v>0</v>
      </c>
    </row>
    <row r="207" spans="3:15" x14ac:dyDescent="0.25">
      <c r="C207" s="18"/>
      <c r="D207" s="18" t="s">
        <v>185</v>
      </c>
      <c r="E207" s="24">
        <v>0</v>
      </c>
      <c r="F207" s="42"/>
      <c r="G207" s="25">
        <f t="shared" si="14"/>
        <v>0</v>
      </c>
      <c r="H207" s="42"/>
      <c r="I207" s="43">
        <v>0</v>
      </c>
      <c r="J207" s="20"/>
      <c r="K207" s="28">
        <f t="shared" si="13"/>
        <v>0</v>
      </c>
      <c r="M207" s="29">
        <f t="shared" si="15"/>
        <v>0</v>
      </c>
      <c r="N207" s="20">
        <f t="shared" si="11"/>
        <v>0</v>
      </c>
      <c r="O207" s="23">
        <v>0</v>
      </c>
    </row>
    <row r="208" spans="3:15" x14ac:dyDescent="0.25">
      <c r="C208" s="18"/>
      <c r="D208" s="18" t="s">
        <v>186</v>
      </c>
      <c r="E208" s="24">
        <v>0</v>
      </c>
      <c r="F208" s="42"/>
      <c r="G208" s="25">
        <f t="shared" si="14"/>
        <v>0</v>
      </c>
      <c r="H208" s="42"/>
      <c r="I208" s="43">
        <v>0</v>
      </c>
      <c r="J208" s="20"/>
      <c r="K208" s="28">
        <f t="shared" si="13"/>
        <v>0</v>
      </c>
      <c r="M208" s="29">
        <f t="shared" si="15"/>
        <v>0</v>
      </c>
      <c r="N208" s="20">
        <f t="shared" si="11"/>
        <v>0</v>
      </c>
      <c r="O208" s="23">
        <v>0</v>
      </c>
    </row>
    <row r="209" spans="3:15" x14ac:dyDescent="0.25">
      <c r="C209" s="18"/>
      <c r="D209" s="18" t="s">
        <v>187</v>
      </c>
      <c r="E209" s="24">
        <v>0</v>
      </c>
      <c r="F209" s="42"/>
      <c r="G209" s="25">
        <f t="shared" si="14"/>
        <v>0</v>
      </c>
      <c r="H209" s="42"/>
      <c r="I209" s="43">
        <v>0</v>
      </c>
      <c r="J209" s="20"/>
      <c r="K209" s="28">
        <f t="shared" si="13"/>
        <v>0</v>
      </c>
      <c r="M209" s="29">
        <f t="shared" si="15"/>
        <v>0</v>
      </c>
      <c r="N209" s="20">
        <f t="shared" si="11"/>
        <v>0</v>
      </c>
      <c r="O209" s="23">
        <v>0</v>
      </c>
    </row>
    <row r="210" spans="3:15" x14ac:dyDescent="0.25">
      <c r="C210" s="18"/>
      <c r="D210" s="18"/>
      <c r="E210" s="24"/>
      <c r="F210" s="42"/>
      <c r="G210" s="25"/>
      <c r="H210" s="42"/>
      <c r="I210" s="43"/>
      <c r="J210" s="20"/>
      <c r="K210" s="28"/>
      <c r="M210" s="29"/>
      <c r="N210" s="20"/>
      <c r="O210" s="23"/>
    </row>
    <row r="211" spans="3:15" x14ac:dyDescent="0.25">
      <c r="C211" s="18" t="s">
        <v>188</v>
      </c>
      <c r="D211" s="18"/>
      <c r="E211" s="24"/>
      <c r="F211" s="42"/>
      <c r="G211" s="25"/>
      <c r="H211" s="42"/>
      <c r="I211" s="43"/>
      <c r="J211" s="20"/>
      <c r="K211" s="28"/>
      <c r="M211" s="29"/>
      <c r="N211" s="20"/>
      <c r="O211" s="23"/>
    </row>
    <row r="212" spans="3:15" x14ac:dyDescent="0.25">
      <c r="C212" s="18"/>
      <c r="D212" s="18" t="s">
        <v>189</v>
      </c>
      <c r="E212" s="24">
        <v>41137.65</v>
      </c>
      <c r="F212" s="42"/>
      <c r="G212" s="25">
        <f>ROUND(E212/8*12,0)</f>
        <v>61706</v>
      </c>
      <c r="H212" s="42"/>
      <c r="I212" s="43">
        <v>141480</v>
      </c>
      <c r="J212" s="20"/>
      <c r="K212" s="28">
        <f t="shared" ref="K212:K244" si="16">+G212-I212</f>
        <v>-79774</v>
      </c>
      <c r="M212" s="29">
        <f t="shared" si="15"/>
        <v>141480</v>
      </c>
      <c r="N212" s="20">
        <f t="shared" si="11"/>
        <v>61706</v>
      </c>
      <c r="O212" s="29" t="e">
        <f>+#REF!</f>
        <v>#REF!</v>
      </c>
    </row>
    <row r="213" spans="3:15" x14ac:dyDescent="0.25">
      <c r="C213" s="18"/>
      <c r="D213" s="18" t="s">
        <v>190</v>
      </c>
      <c r="E213" s="24">
        <v>0</v>
      </c>
      <c r="F213" s="42"/>
      <c r="G213" s="25">
        <f t="shared" ref="G213:G216" si="17">ROUND(E213/8*12,0)</f>
        <v>0</v>
      </c>
      <c r="H213" s="42"/>
      <c r="I213" s="43">
        <v>0</v>
      </c>
      <c r="J213" s="20"/>
      <c r="K213" s="28">
        <f t="shared" si="16"/>
        <v>0</v>
      </c>
      <c r="M213" s="29">
        <f t="shared" si="15"/>
        <v>0</v>
      </c>
      <c r="N213" s="20">
        <f t="shared" si="11"/>
        <v>0</v>
      </c>
      <c r="O213" s="29">
        <v>0</v>
      </c>
    </row>
    <row r="214" spans="3:15" x14ac:dyDescent="0.25">
      <c r="C214" s="18"/>
      <c r="D214" s="18" t="s">
        <v>191</v>
      </c>
      <c r="E214" s="24">
        <v>3147.03</v>
      </c>
      <c r="F214" s="42"/>
      <c r="G214" s="25">
        <f t="shared" si="17"/>
        <v>4721</v>
      </c>
      <c r="H214" s="42"/>
      <c r="I214" s="43">
        <v>10823.2</v>
      </c>
      <c r="J214" s="20"/>
      <c r="K214" s="28">
        <f t="shared" si="16"/>
        <v>-6102.2000000000007</v>
      </c>
      <c r="M214" s="29">
        <f t="shared" si="15"/>
        <v>10823.2</v>
      </c>
      <c r="N214" s="20">
        <f t="shared" si="11"/>
        <v>4721</v>
      </c>
      <c r="O214" s="29" t="e">
        <f>O212*0.0765</f>
        <v>#REF!</v>
      </c>
    </row>
    <row r="215" spans="3:15" x14ac:dyDescent="0.25">
      <c r="C215" s="18"/>
      <c r="D215" s="18" t="s">
        <v>192</v>
      </c>
      <c r="E215" s="24">
        <v>12591.41</v>
      </c>
      <c r="F215" s="42"/>
      <c r="G215" s="25">
        <f t="shared" si="17"/>
        <v>18887</v>
      </c>
      <c r="H215" s="42"/>
      <c r="I215" s="43">
        <v>0</v>
      </c>
      <c r="J215" s="20"/>
      <c r="K215" s="28"/>
      <c r="M215" s="29">
        <f t="shared" si="15"/>
        <v>0</v>
      </c>
      <c r="N215" s="20">
        <f t="shared" si="11"/>
        <v>18887</v>
      </c>
      <c r="O215" s="29"/>
    </row>
    <row r="216" spans="3:15" x14ac:dyDescent="0.25">
      <c r="C216" s="18"/>
      <c r="D216" s="18" t="s">
        <v>193</v>
      </c>
      <c r="E216" s="24">
        <v>0</v>
      </c>
      <c r="F216" s="42"/>
      <c r="G216" s="25">
        <f t="shared" si="17"/>
        <v>0</v>
      </c>
      <c r="H216" s="42"/>
      <c r="I216" s="43">
        <v>0</v>
      </c>
      <c r="J216" s="20"/>
      <c r="K216" s="28"/>
      <c r="M216" s="29">
        <f t="shared" si="15"/>
        <v>0</v>
      </c>
      <c r="N216" s="20">
        <f t="shared" si="11"/>
        <v>0</v>
      </c>
      <c r="O216" s="29" t="e">
        <f>+#REF!</f>
        <v>#REF!</v>
      </c>
    </row>
    <row r="217" spans="3:15" x14ac:dyDescent="0.25">
      <c r="C217" s="18"/>
      <c r="D217" s="18" t="s">
        <v>194</v>
      </c>
      <c r="E217" s="24">
        <v>0</v>
      </c>
      <c r="F217" s="42"/>
      <c r="G217" s="25">
        <f t="shared" si="14"/>
        <v>0</v>
      </c>
      <c r="H217" s="42"/>
      <c r="I217" s="43">
        <v>3720</v>
      </c>
      <c r="J217" s="20"/>
      <c r="K217" s="28">
        <f t="shared" si="16"/>
        <v>-3720</v>
      </c>
      <c r="M217" s="29">
        <f t="shared" si="15"/>
        <v>3720</v>
      </c>
      <c r="N217" s="20">
        <f t="shared" si="11"/>
        <v>0</v>
      </c>
      <c r="O217" s="23">
        <f>310*12</f>
        <v>3720</v>
      </c>
    </row>
    <row r="218" spans="3:15" x14ac:dyDescent="0.25">
      <c r="C218" s="18"/>
      <c r="D218" s="18" t="s">
        <v>195</v>
      </c>
      <c r="E218" s="24">
        <v>907.41</v>
      </c>
      <c r="F218" s="42"/>
      <c r="G218" s="25">
        <f t="shared" si="14"/>
        <v>1210</v>
      </c>
      <c r="H218" s="42"/>
      <c r="I218" s="43">
        <v>3000</v>
      </c>
      <c r="J218" s="20"/>
      <c r="K218" s="28">
        <f t="shared" si="16"/>
        <v>-1790</v>
      </c>
      <c r="M218" s="29">
        <f t="shared" si="15"/>
        <v>3000</v>
      </c>
      <c r="N218" s="20">
        <f t="shared" si="11"/>
        <v>1210</v>
      </c>
      <c r="O218" s="23">
        <v>3000</v>
      </c>
    </row>
    <row r="219" spans="3:15" x14ac:dyDescent="0.25">
      <c r="C219" s="18"/>
      <c r="D219" s="18" t="s">
        <v>196</v>
      </c>
      <c r="E219" s="24">
        <v>1679</v>
      </c>
      <c r="F219" s="42"/>
      <c r="G219" s="25">
        <f t="shared" si="14"/>
        <v>2239</v>
      </c>
      <c r="H219" s="42"/>
      <c r="I219" s="43">
        <v>4000</v>
      </c>
      <c r="J219" s="20"/>
      <c r="K219" s="28">
        <f t="shared" si="16"/>
        <v>-1761</v>
      </c>
      <c r="M219" s="29">
        <f t="shared" si="15"/>
        <v>4000</v>
      </c>
      <c r="N219" s="20">
        <f t="shared" si="11"/>
        <v>2239</v>
      </c>
      <c r="O219" s="23">
        <v>4000</v>
      </c>
    </row>
    <row r="220" spans="3:15" x14ac:dyDescent="0.25">
      <c r="C220" s="18"/>
      <c r="D220" s="18" t="s">
        <v>197</v>
      </c>
      <c r="E220" s="24">
        <v>5568.3</v>
      </c>
      <c r="F220" s="42"/>
      <c r="G220" s="25">
        <f t="shared" si="14"/>
        <v>7424</v>
      </c>
      <c r="H220" s="42"/>
      <c r="I220" s="43">
        <v>7367</v>
      </c>
      <c r="J220" s="20"/>
      <c r="K220" s="28">
        <f t="shared" si="16"/>
        <v>57</v>
      </c>
      <c r="M220" s="29">
        <f t="shared" si="15"/>
        <v>7367</v>
      </c>
      <c r="N220" s="20">
        <f t="shared" si="11"/>
        <v>7424</v>
      </c>
      <c r="O220" s="23">
        <f>+[1]Insurance!H11</f>
        <v>7367</v>
      </c>
    </row>
    <row r="221" spans="3:15" x14ac:dyDescent="0.25">
      <c r="C221" s="18"/>
      <c r="D221" s="18" t="s">
        <v>198</v>
      </c>
      <c r="E221" s="24">
        <v>8108.25</v>
      </c>
      <c r="F221" s="42"/>
      <c r="G221" s="25">
        <f t="shared" si="14"/>
        <v>10811</v>
      </c>
      <c r="H221" s="42"/>
      <c r="I221" s="43">
        <v>10000</v>
      </c>
      <c r="J221" s="20"/>
      <c r="K221" s="28">
        <f t="shared" si="16"/>
        <v>811</v>
      </c>
      <c r="M221" s="29">
        <f t="shared" si="15"/>
        <v>10000</v>
      </c>
      <c r="N221" s="20">
        <f t="shared" si="11"/>
        <v>10811</v>
      </c>
      <c r="O221" s="23">
        <v>10000</v>
      </c>
    </row>
    <row r="222" spans="3:15" x14ac:dyDescent="0.25">
      <c r="C222" s="18"/>
      <c r="D222" s="18" t="s">
        <v>199</v>
      </c>
      <c r="E222" s="24">
        <v>3104.36</v>
      </c>
      <c r="F222" s="42"/>
      <c r="G222" s="25">
        <f t="shared" si="14"/>
        <v>4139</v>
      </c>
      <c r="H222" s="42"/>
      <c r="I222" s="43">
        <v>10600</v>
      </c>
      <c r="J222" s="20"/>
      <c r="K222" s="28">
        <f t="shared" si="16"/>
        <v>-6461</v>
      </c>
      <c r="M222" s="29">
        <f t="shared" si="15"/>
        <v>10600</v>
      </c>
      <c r="N222" s="20">
        <f t="shared" si="11"/>
        <v>4139</v>
      </c>
      <c r="O222" s="23">
        <v>10600</v>
      </c>
    </row>
    <row r="223" spans="3:15" x14ac:dyDescent="0.25">
      <c r="C223" s="18"/>
      <c r="D223" s="18"/>
      <c r="E223" s="24"/>
      <c r="F223" s="42"/>
      <c r="G223" s="25"/>
      <c r="H223" s="42"/>
      <c r="I223" s="43"/>
      <c r="J223" s="20"/>
      <c r="K223" s="28"/>
      <c r="M223" s="29"/>
      <c r="N223" s="20"/>
      <c r="O223" s="23"/>
    </row>
    <row r="224" spans="3:15" x14ac:dyDescent="0.25">
      <c r="C224" s="18" t="s">
        <v>200</v>
      </c>
      <c r="E224" s="24"/>
      <c r="F224" s="42"/>
      <c r="G224" s="25"/>
      <c r="H224" s="42"/>
      <c r="I224" s="43"/>
      <c r="J224" s="20"/>
      <c r="K224" s="28"/>
      <c r="M224" s="29"/>
      <c r="N224" s="20"/>
      <c r="O224" s="23"/>
    </row>
    <row r="225" spans="3:15" x14ac:dyDescent="0.25">
      <c r="C225" s="18"/>
      <c r="D225" s="18" t="s">
        <v>201</v>
      </c>
      <c r="E225" s="24">
        <v>0</v>
      </c>
      <c r="F225" s="42"/>
      <c r="G225" s="25">
        <f t="shared" si="14"/>
        <v>0</v>
      </c>
      <c r="H225" s="42"/>
      <c r="I225" s="43"/>
      <c r="J225" s="20"/>
      <c r="K225" s="28">
        <f t="shared" si="16"/>
        <v>0</v>
      </c>
      <c r="M225" s="29">
        <f t="shared" si="15"/>
        <v>0</v>
      </c>
      <c r="N225" s="20">
        <f t="shared" si="11"/>
        <v>0</v>
      </c>
      <c r="O225" s="23"/>
    </row>
    <row r="226" spans="3:15" x14ac:dyDescent="0.25">
      <c r="C226" s="18"/>
      <c r="D226" s="18" t="s">
        <v>202</v>
      </c>
      <c r="E226" s="24">
        <v>0</v>
      </c>
      <c r="F226" s="42"/>
      <c r="G226" s="25">
        <f t="shared" si="14"/>
        <v>0</v>
      </c>
      <c r="H226" s="42"/>
      <c r="I226" s="43">
        <v>0</v>
      </c>
      <c r="J226" s="20"/>
      <c r="K226" s="28">
        <f t="shared" si="16"/>
        <v>0</v>
      </c>
      <c r="M226" s="29">
        <f t="shared" si="15"/>
        <v>0</v>
      </c>
      <c r="N226" s="20">
        <f t="shared" si="11"/>
        <v>0</v>
      </c>
      <c r="O226" s="23">
        <v>0</v>
      </c>
    </row>
    <row r="227" spans="3:15" x14ac:dyDescent="0.25">
      <c r="C227" s="18"/>
      <c r="D227" s="18" t="s">
        <v>203</v>
      </c>
      <c r="E227" s="24">
        <v>0</v>
      </c>
      <c r="F227" s="42"/>
      <c r="G227" s="25">
        <f t="shared" si="14"/>
        <v>0</v>
      </c>
      <c r="H227" s="42"/>
      <c r="I227" s="43">
        <v>0</v>
      </c>
      <c r="J227" s="20"/>
      <c r="K227" s="28"/>
      <c r="M227" s="29">
        <f t="shared" si="15"/>
        <v>0</v>
      </c>
      <c r="N227" s="20">
        <f t="shared" si="11"/>
        <v>0</v>
      </c>
      <c r="O227" s="23">
        <v>0</v>
      </c>
    </row>
    <row r="228" spans="3:15" x14ac:dyDescent="0.25">
      <c r="C228" s="18"/>
      <c r="D228" s="18" t="s">
        <v>204</v>
      </c>
      <c r="E228" s="24">
        <v>0</v>
      </c>
      <c r="F228" s="42"/>
      <c r="G228" s="25">
        <f t="shared" si="14"/>
        <v>0</v>
      </c>
      <c r="H228" s="42"/>
      <c r="I228" s="43">
        <v>0</v>
      </c>
      <c r="J228" s="20"/>
      <c r="K228" s="28"/>
      <c r="M228" s="29">
        <f t="shared" si="15"/>
        <v>0</v>
      </c>
      <c r="N228" s="20">
        <f t="shared" si="11"/>
        <v>0</v>
      </c>
      <c r="O228" s="23">
        <v>0</v>
      </c>
    </row>
    <row r="229" spans="3:15" x14ac:dyDescent="0.25">
      <c r="C229" s="18"/>
      <c r="D229" s="18"/>
      <c r="E229" s="24"/>
      <c r="F229" s="42"/>
      <c r="G229" s="25"/>
      <c r="H229" s="42"/>
      <c r="I229" s="43"/>
      <c r="J229" s="20"/>
      <c r="K229" s="28"/>
      <c r="M229" s="29"/>
      <c r="N229" s="20"/>
      <c r="O229" s="23"/>
    </row>
    <row r="230" spans="3:15" x14ac:dyDescent="0.25">
      <c r="C230" s="18" t="s">
        <v>205</v>
      </c>
      <c r="D230" s="18"/>
      <c r="E230" s="24"/>
      <c r="F230" s="42"/>
      <c r="G230" s="25"/>
      <c r="H230" s="42"/>
      <c r="I230" s="43"/>
      <c r="J230" s="20"/>
      <c r="K230" s="28"/>
      <c r="M230" s="29"/>
      <c r="N230" s="20"/>
      <c r="O230" s="23"/>
    </row>
    <row r="231" spans="3:15" x14ac:dyDescent="0.25">
      <c r="C231" s="18"/>
      <c r="D231" s="18" t="s">
        <v>206</v>
      </c>
      <c r="E231" s="24">
        <v>0</v>
      </c>
      <c r="F231" s="42"/>
      <c r="G231" s="25">
        <f t="shared" ref="G231:G244" si="18">ROUND(E231/9*12,0)</f>
        <v>0</v>
      </c>
      <c r="H231" s="42"/>
      <c r="I231" s="43">
        <v>20800</v>
      </c>
      <c r="J231" s="20"/>
      <c r="K231" s="28">
        <f t="shared" si="16"/>
        <v>-20800</v>
      </c>
      <c r="M231" s="29">
        <f t="shared" ref="M231:M244" si="19">+I231</f>
        <v>20800</v>
      </c>
      <c r="N231" s="20">
        <f t="shared" si="11"/>
        <v>0</v>
      </c>
      <c r="O231" s="23">
        <v>0</v>
      </c>
    </row>
    <row r="232" spans="3:15" x14ac:dyDescent="0.25">
      <c r="C232" s="18"/>
      <c r="D232" s="18" t="s">
        <v>207</v>
      </c>
      <c r="E232" s="24">
        <v>0</v>
      </c>
      <c r="F232" s="42"/>
      <c r="G232" s="25">
        <f t="shared" si="18"/>
        <v>0</v>
      </c>
      <c r="H232" s="42"/>
      <c r="I232" s="43">
        <v>1591.2</v>
      </c>
      <c r="J232" s="20"/>
      <c r="K232" s="28">
        <f t="shared" si="16"/>
        <v>-1591.2</v>
      </c>
      <c r="M232" s="29">
        <f t="shared" si="19"/>
        <v>1591.2</v>
      </c>
      <c r="N232" s="20">
        <f t="shared" si="11"/>
        <v>0</v>
      </c>
      <c r="O232" s="23">
        <v>0</v>
      </c>
    </row>
    <row r="233" spans="3:15" x14ac:dyDescent="0.25">
      <c r="C233" s="18"/>
      <c r="D233" s="18" t="s">
        <v>208</v>
      </c>
      <c r="E233" s="24"/>
      <c r="F233" s="42"/>
      <c r="G233" s="25">
        <f t="shared" si="18"/>
        <v>0</v>
      </c>
      <c r="H233" s="42"/>
      <c r="I233" s="43">
        <v>0</v>
      </c>
      <c r="J233" s="20"/>
      <c r="K233" s="28"/>
      <c r="M233" s="29">
        <f t="shared" si="19"/>
        <v>0</v>
      </c>
      <c r="N233" s="20">
        <f t="shared" si="11"/>
        <v>0</v>
      </c>
      <c r="O233" s="23">
        <v>0</v>
      </c>
    </row>
    <row r="234" spans="3:15" x14ac:dyDescent="0.25">
      <c r="C234" s="18"/>
      <c r="D234" s="18" t="s">
        <v>209</v>
      </c>
      <c r="E234" s="24">
        <v>0</v>
      </c>
      <c r="F234" s="42"/>
      <c r="G234" s="25">
        <f t="shared" si="18"/>
        <v>0</v>
      </c>
      <c r="H234" s="42"/>
      <c r="I234" s="43">
        <v>12000</v>
      </c>
      <c r="J234" s="20"/>
      <c r="K234" s="28">
        <f t="shared" si="16"/>
        <v>-12000</v>
      </c>
      <c r="M234" s="29">
        <f t="shared" si="19"/>
        <v>12000</v>
      </c>
      <c r="N234" s="20">
        <f t="shared" si="11"/>
        <v>0</v>
      </c>
      <c r="O234" s="23">
        <v>0</v>
      </c>
    </row>
    <row r="235" spans="3:15" x14ac:dyDescent="0.25">
      <c r="C235" s="18"/>
      <c r="D235" s="18" t="s">
        <v>210</v>
      </c>
      <c r="E235" s="24">
        <v>0</v>
      </c>
      <c r="F235" s="42"/>
      <c r="G235" s="25">
        <f t="shared" si="18"/>
        <v>0</v>
      </c>
      <c r="H235" s="42"/>
      <c r="I235" s="43">
        <v>0</v>
      </c>
      <c r="J235" s="20"/>
      <c r="K235" s="28">
        <f t="shared" si="16"/>
        <v>0</v>
      </c>
      <c r="M235" s="29">
        <f t="shared" si="19"/>
        <v>0</v>
      </c>
      <c r="N235" s="20">
        <f t="shared" si="11"/>
        <v>0</v>
      </c>
      <c r="O235" s="23">
        <v>0</v>
      </c>
    </row>
    <row r="236" spans="3:15" x14ac:dyDescent="0.25">
      <c r="C236" s="18"/>
      <c r="D236" s="18" t="s">
        <v>211</v>
      </c>
      <c r="E236" s="24">
        <v>969</v>
      </c>
      <c r="F236" s="42"/>
      <c r="G236" s="25">
        <f t="shared" si="18"/>
        <v>1292</v>
      </c>
      <c r="H236" s="42"/>
      <c r="I236" s="43">
        <v>600</v>
      </c>
      <c r="J236" s="20"/>
      <c r="K236" s="28">
        <f t="shared" si="16"/>
        <v>692</v>
      </c>
      <c r="M236" s="29">
        <f t="shared" si="19"/>
        <v>600</v>
      </c>
      <c r="N236" s="20">
        <f t="shared" si="11"/>
        <v>1292</v>
      </c>
      <c r="O236" s="23">
        <v>0</v>
      </c>
    </row>
    <row r="237" spans="3:15" x14ac:dyDescent="0.25">
      <c r="C237" s="18"/>
      <c r="D237" s="18" t="s">
        <v>212</v>
      </c>
      <c r="E237" s="24">
        <v>0</v>
      </c>
      <c r="F237" s="42"/>
      <c r="G237" s="25">
        <f t="shared" si="18"/>
        <v>0</v>
      </c>
      <c r="H237" s="42"/>
      <c r="I237" s="43">
        <v>0</v>
      </c>
      <c r="J237" s="20"/>
      <c r="K237" s="28">
        <f t="shared" si="16"/>
        <v>0</v>
      </c>
      <c r="M237" s="29">
        <f t="shared" si="19"/>
        <v>0</v>
      </c>
      <c r="N237" s="20">
        <f t="shared" si="11"/>
        <v>0</v>
      </c>
      <c r="O237" s="23">
        <v>0</v>
      </c>
    </row>
    <row r="238" spans="3:15" x14ac:dyDescent="0.25">
      <c r="C238" s="18"/>
      <c r="D238" s="18"/>
      <c r="E238" s="24"/>
      <c r="F238" s="42"/>
      <c r="G238" s="25"/>
      <c r="H238" s="42"/>
      <c r="I238" s="43"/>
      <c r="J238" s="20"/>
      <c r="K238" s="28"/>
      <c r="M238" s="29"/>
      <c r="N238" s="20"/>
      <c r="O238" s="23"/>
    </row>
    <row r="239" spans="3:15" x14ac:dyDescent="0.25">
      <c r="C239" s="18" t="s">
        <v>213</v>
      </c>
      <c r="D239" s="18"/>
      <c r="E239" s="24"/>
      <c r="F239" s="42"/>
      <c r="G239" s="25"/>
      <c r="H239" s="42"/>
      <c r="I239" s="43"/>
      <c r="J239" s="20"/>
      <c r="K239" s="28"/>
      <c r="M239" s="29"/>
      <c r="N239" s="20"/>
      <c r="O239" s="23"/>
    </row>
    <row r="240" spans="3:15" x14ac:dyDescent="0.25">
      <c r="C240" s="18"/>
      <c r="D240" s="18" t="s">
        <v>214</v>
      </c>
      <c r="E240" s="24">
        <v>0</v>
      </c>
      <c r="F240" s="42"/>
      <c r="G240" s="25">
        <f t="shared" si="18"/>
        <v>0</v>
      </c>
      <c r="H240" s="42"/>
      <c r="I240" s="43">
        <v>0</v>
      </c>
      <c r="J240" s="20"/>
      <c r="K240" s="28">
        <f t="shared" si="16"/>
        <v>0</v>
      </c>
      <c r="M240" s="29">
        <f t="shared" si="19"/>
        <v>0</v>
      </c>
      <c r="N240" s="20">
        <f t="shared" si="11"/>
        <v>0</v>
      </c>
      <c r="O240" s="23">
        <v>0</v>
      </c>
    </row>
    <row r="241" spans="1:15" x14ac:dyDescent="0.25">
      <c r="C241" s="18"/>
      <c r="D241" s="18"/>
      <c r="E241" s="24"/>
      <c r="F241" s="42"/>
      <c r="G241" s="25"/>
      <c r="H241" s="42"/>
      <c r="I241" s="43"/>
      <c r="J241" s="20"/>
      <c r="K241" s="28"/>
      <c r="M241" s="29"/>
      <c r="N241" s="20"/>
      <c r="O241" s="23"/>
    </row>
    <row r="242" spans="1:15" x14ac:dyDescent="0.25">
      <c r="D242" s="18" t="s">
        <v>215</v>
      </c>
      <c r="E242" s="24">
        <v>0</v>
      </c>
      <c r="F242" s="42"/>
      <c r="G242" s="25">
        <f t="shared" si="18"/>
        <v>0</v>
      </c>
      <c r="H242" s="42"/>
      <c r="I242" s="43">
        <v>0</v>
      </c>
      <c r="J242" s="20"/>
      <c r="K242" s="28">
        <f t="shared" si="16"/>
        <v>0</v>
      </c>
      <c r="M242" s="29">
        <f t="shared" si="19"/>
        <v>0</v>
      </c>
      <c r="N242" s="20">
        <f t="shared" si="11"/>
        <v>0</v>
      </c>
      <c r="O242" s="23">
        <v>0</v>
      </c>
    </row>
    <row r="243" spans="1:15" x14ac:dyDescent="0.25">
      <c r="D243" s="18" t="s">
        <v>216</v>
      </c>
      <c r="E243" s="24">
        <v>0</v>
      </c>
      <c r="F243" s="42"/>
      <c r="G243" s="25">
        <f t="shared" si="18"/>
        <v>0</v>
      </c>
      <c r="H243" s="42"/>
      <c r="I243" s="43">
        <v>0</v>
      </c>
      <c r="J243" s="20"/>
      <c r="K243" s="28">
        <f t="shared" si="16"/>
        <v>0</v>
      </c>
      <c r="M243" s="29">
        <f t="shared" si="19"/>
        <v>0</v>
      </c>
      <c r="N243" s="20">
        <f t="shared" si="11"/>
        <v>0</v>
      </c>
      <c r="O243" s="23">
        <v>0</v>
      </c>
    </row>
    <row r="244" spans="1:15" x14ac:dyDescent="0.25">
      <c r="D244" s="18" t="s">
        <v>217</v>
      </c>
      <c r="E244" s="24">
        <v>0</v>
      </c>
      <c r="F244" s="42"/>
      <c r="G244" s="25">
        <f t="shared" si="18"/>
        <v>0</v>
      </c>
      <c r="H244" s="42"/>
      <c r="I244" s="43"/>
      <c r="J244" s="20"/>
      <c r="K244" s="28">
        <f t="shared" si="16"/>
        <v>0</v>
      </c>
      <c r="M244" s="29">
        <f t="shared" si="19"/>
        <v>0</v>
      </c>
      <c r="N244" s="20">
        <f t="shared" ref="N244" si="20">+G244</f>
        <v>0</v>
      </c>
      <c r="O244" s="23"/>
    </row>
    <row r="245" spans="1:15" ht="15.75" thickBot="1" x14ac:dyDescent="0.3">
      <c r="E245" s="19"/>
      <c r="F245" s="20"/>
      <c r="G245" s="20"/>
      <c r="H245" s="20"/>
      <c r="I245" s="22"/>
      <c r="J245" s="20"/>
      <c r="K245" s="20"/>
      <c r="M245" s="23"/>
      <c r="N245" s="20"/>
      <c r="O245" s="23"/>
    </row>
    <row r="246" spans="1:15" ht="15.75" thickBot="1" x14ac:dyDescent="0.3">
      <c r="B246" s="47" t="s">
        <v>87</v>
      </c>
      <c r="E246" s="48">
        <f>ROUND(SUM(E101:E245),5)</f>
        <v>497119.28</v>
      </c>
      <c r="F246" s="20"/>
      <c r="G246" s="49">
        <f>ROUND(SUM(G101:G245),5)</f>
        <v>616087.17500000005</v>
      </c>
      <c r="H246" s="20"/>
      <c r="I246" s="50">
        <f>ROUND(SUM(I101:I245),5)</f>
        <v>799974.44</v>
      </c>
      <c r="J246" s="20"/>
      <c r="K246" s="49">
        <f>ROUND(SUM(K101:K245),5)</f>
        <v>-248928.42499999999</v>
      </c>
      <c r="M246" s="51">
        <f>ROUND(SUM(M101:M245),5)</f>
        <v>799974.44</v>
      </c>
      <c r="N246" s="49">
        <f>ROUND(SUM(N101:N245),5)</f>
        <v>616087.17500000005</v>
      </c>
      <c r="O246" s="51" t="e">
        <f>SUM(O102:O245)</f>
        <v>#REF!</v>
      </c>
    </row>
    <row r="247" spans="1:15" ht="15.75" thickBot="1" x14ac:dyDescent="0.3">
      <c r="A247" s="47" t="s">
        <v>218</v>
      </c>
      <c r="E247" s="52">
        <f>+E99-E246</f>
        <v>177834.03999999992</v>
      </c>
      <c r="F247" s="27"/>
      <c r="G247" s="53">
        <f>+G99-G246</f>
        <v>302126.6449999999</v>
      </c>
      <c r="H247" s="27"/>
      <c r="I247" s="54">
        <f>+I99-I246</f>
        <v>112146.56000000006</v>
      </c>
      <c r="J247" s="27"/>
      <c r="K247" s="55">
        <f>+K99-K246</f>
        <v>255021.24499999994</v>
      </c>
      <c r="L247" s="47"/>
      <c r="M247" s="56">
        <f>+M99-M246</f>
        <v>112146.56000000006</v>
      </c>
      <c r="N247" s="53">
        <f>+N99-N246</f>
        <v>302126.6449999999</v>
      </c>
      <c r="O247" s="56" t="e">
        <f>+O99-O246</f>
        <v>#REF!</v>
      </c>
    </row>
    <row r="248" spans="1:15" ht="15.75" thickTop="1" x14ac:dyDescent="0.25"/>
  </sheetData>
  <pageMargins left="0.7" right="0.7" top="0.75" bottom="0.75" header="0.1" footer="0.3"/>
  <pageSetup scale="91" fitToHeight="0" orientation="portrait" r:id="rId1"/>
  <headerFooter>
    <oddHeader>&amp;C&amp;"Arial,Bold"&amp;12 Town of White Springs
&amp;14General Fund 
Proposed Budget 2023-2024</oddHeader>
    <oddFooter>&amp;L&amp;A&amp;CWORKING&amp;R&amp;"Arial,Bold"&amp;8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0</xdr:row>
                <xdr:rowOff>190500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0</xdr:row>
                <xdr:rowOff>190500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B6BC-1E45-4C70-BDFA-D52D6EB2D682}">
  <sheetPr codeName="Sheet4">
    <pageSetUpPr fitToPage="1"/>
  </sheetPr>
  <dimension ref="A1:S135"/>
  <sheetViews>
    <sheetView zoomScale="154" zoomScaleNormal="154" workbookViewId="0">
      <pane xSplit="4" ySplit="2" topLeftCell="F4" activePane="bottomRight" state="frozenSplit"/>
      <selection sqref="A1:Q161"/>
      <selection pane="topRight" sqref="A1:Q161"/>
      <selection pane="bottomLeft" sqref="A1:Q161"/>
      <selection pane="bottomRight" activeCell="S108" sqref="S107:S108"/>
    </sheetView>
  </sheetViews>
  <sheetFormatPr defaultRowHeight="15" x14ac:dyDescent="0.25"/>
  <cols>
    <col min="1" max="3" width="3" style="47" customWidth="1"/>
    <col min="4" max="4" width="37.28515625" style="47" customWidth="1"/>
    <col min="5" max="5" width="13" customWidth="1"/>
    <col min="6" max="6" width="2.28515625" customWidth="1"/>
    <col min="7" max="7" width="12.85546875" customWidth="1"/>
    <col min="8" max="8" width="2.28515625" customWidth="1"/>
    <col min="9" max="9" width="11.140625" customWidth="1"/>
    <col min="10" max="10" width="2.28515625" customWidth="1"/>
    <col min="11" max="11" width="12.140625" customWidth="1"/>
    <col min="12" max="12" width="2.7109375" customWidth="1"/>
    <col min="13" max="15" width="15.7109375" customWidth="1"/>
    <col min="19" max="19" width="11.140625" customWidth="1"/>
  </cols>
  <sheetData>
    <row r="1" spans="1:15" ht="15.75" thickBot="1" x14ac:dyDescent="0.3">
      <c r="A1" s="3"/>
      <c r="B1" s="3"/>
      <c r="C1" s="3"/>
      <c r="D1" s="3"/>
      <c r="E1" s="4"/>
      <c r="F1" s="5"/>
      <c r="G1" s="5"/>
      <c r="H1" s="5"/>
      <c r="I1" s="4"/>
      <c r="J1" s="5"/>
      <c r="K1" s="6" t="s">
        <v>1</v>
      </c>
      <c r="M1" s="2" t="s">
        <v>2</v>
      </c>
      <c r="N1" s="2" t="s">
        <v>3</v>
      </c>
      <c r="O1" s="2" t="s">
        <v>2</v>
      </c>
    </row>
    <row r="2" spans="1:15" s="2" customFormat="1" ht="16.5" thickTop="1" thickBot="1" x14ac:dyDescent="0.3">
      <c r="A2" s="7"/>
      <c r="B2" s="7"/>
      <c r="C2" s="7"/>
      <c r="D2" s="7"/>
      <c r="E2" s="8" t="s">
        <v>219</v>
      </c>
      <c r="F2" s="10"/>
      <c r="G2" s="9" t="s">
        <v>1</v>
      </c>
      <c r="H2" s="10"/>
      <c r="I2" s="8" t="s">
        <v>2</v>
      </c>
      <c r="J2" s="10"/>
      <c r="K2" s="9" t="s">
        <v>5</v>
      </c>
      <c r="M2" s="11" t="s">
        <v>0</v>
      </c>
      <c r="N2" s="11" t="s">
        <v>0</v>
      </c>
      <c r="O2" s="11" t="s">
        <v>6</v>
      </c>
    </row>
    <row r="3" spans="1:15" ht="15.75" thickTop="1" x14ac:dyDescent="0.25">
      <c r="A3" s="3"/>
      <c r="B3" s="3"/>
      <c r="C3" s="3" t="s">
        <v>7</v>
      </c>
      <c r="D3" s="3"/>
      <c r="E3" s="12"/>
      <c r="F3" s="13"/>
      <c r="G3" s="13"/>
      <c r="H3" s="13"/>
      <c r="I3" s="12"/>
      <c r="J3" s="13"/>
      <c r="K3" s="15"/>
    </row>
    <row r="4" spans="1:15" x14ac:dyDescent="0.25">
      <c r="A4" s="3"/>
      <c r="B4" s="3"/>
      <c r="C4" s="18" t="s">
        <v>220</v>
      </c>
      <c r="D4" s="18"/>
      <c r="E4" s="19"/>
      <c r="F4" s="20"/>
      <c r="G4" s="20"/>
      <c r="H4" s="20"/>
      <c r="I4" s="19"/>
      <c r="J4" s="20"/>
      <c r="K4" s="20"/>
      <c r="M4" s="57"/>
      <c r="N4" s="58"/>
      <c r="O4" s="57"/>
    </row>
    <row r="5" spans="1:15" x14ac:dyDescent="0.25">
      <c r="A5" s="3"/>
      <c r="B5" s="3"/>
      <c r="C5" s="18"/>
      <c r="D5" s="18" t="s">
        <v>221</v>
      </c>
      <c r="E5" s="19">
        <v>91640.18</v>
      </c>
      <c r="F5" s="20"/>
      <c r="G5" s="20">
        <f>+ROUND(E5/9*12,0)</f>
        <v>122187</v>
      </c>
      <c r="H5" s="20"/>
      <c r="I5" s="19">
        <v>108150</v>
      </c>
      <c r="J5" s="20"/>
      <c r="K5" s="20">
        <f t="shared" ref="K5:K13" si="0">+G5-I5</f>
        <v>14037</v>
      </c>
      <c r="M5" s="57">
        <f t="shared" ref="M5:M14" si="1">+I5</f>
        <v>108150</v>
      </c>
      <c r="N5" s="58">
        <f t="shared" ref="N5:N25" si="2">+G5</f>
        <v>122187</v>
      </c>
      <c r="O5" s="57">
        <f>+(8291.46+571.8+253.6+360.73+118.62+461.34+98.37)*12*1.2</f>
        <v>146245.24799999999</v>
      </c>
    </row>
    <row r="6" spans="1:15" x14ac:dyDescent="0.25">
      <c r="A6" s="3"/>
      <c r="B6" s="3"/>
      <c r="C6" s="18" t="s">
        <v>222</v>
      </c>
      <c r="D6" s="18"/>
      <c r="E6" s="19"/>
      <c r="F6" s="20"/>
      <c r="G6" s="20">
        <f t="shared" ref="G6:G24" si="3">+ROUND(E6/9*12,0)</f>
        <v>0</v>
      </c>
      <c r="H6" s="20"/>
      <c r="I6" s="19"/>
      <c r="J6" s="20"/>
      <c r="K6" s="20"/>
      <c r="M6" s="57"/>
      <c r="N6" s="58"/>
      <c r="O6" s="57"/>
    </row>
    <row r="7" spans="1:15" x14ac:dyDescent="0.25">
      <c r="A7" s="3"/>
      <c r="B7" s="3"/>
      <c r="C7" s="18"/>
      <c r="D7" s="18" t="s">
        <v>223</v>
      </c>
      <c r="E7" s="19">
        <v>0</v>
      </c>
      <c r="F7" s="20"/>
      <c r="G7" s="20">
        <f t="shared" si="3"/>
        <v>0</v>
      </c>
      <c r="H7" s="20"/>
      <c r="I7" s="19">
        <v>0</v>
      </c>
      <c r="J7" s="20"/>
      <c r="K7" s="20">
        <f t="shared" si="0"/>
        <v>0</v>
      </c>
      <c r="M7" s="57">
        <f t="shared" si="1"/>
        <v>0</v>
      </c>
      <c r="N7" s="58">
        <f t="shared" si="2"/>
        <v>0</v>
      </c>
      <c r="O7" s="57">
        <v>0</v>
      </c>
    </row>
    <row r="8" spans="1:15" x14ac:dyDescent="0.25">
      <c r="A8" s="3"/>
      <c r="B8" s="3"/>
      <c r="C8" s="18"/>
      <c r="D8" s="18" t="s">
        <v>224</v>
      </c>
      <c r="E8" s="19">
        <v>130414.87</v>
      </c>
      <c r="F8" s="20"/>
      <c r="G8" s="20">
        <f t="shared" si="3"/>
        <v>173886</v>
      </c>
      <c r="H8" s="20"/>
      <c r="I8" s="19">
        <v>192784.8</v>
      </c>
      <c r="J8" s="20"/>
      <c r="K8" s="20">
        <f t="shared" si="0"/>
        <v>-18898.799999999988</v>
      </c>
      <c r="M8" s="57">
        <f t="shared" si="1"/>
        <v>192784.8</v>
      </c>
      <c r="N8" s="58">
        <v>168500</v>
      </c>
      <c r="O8" s="59">
        <v>264211</v>
      </c>
    </row>
    <row r="9" spans="1:15" x14ac:dyDescent="0.25">
      <c r="A9" s="3"/>
      <c r="B9" s="3"/>
      <c r="C9" s="18"/>
      <c r="D9" s="18" t="s">
        <v>225</v>
      </c>
      <c r="E9" s="19">
        <v>1250</v>
      </c>
      <c r="F9" s="20"/>
      <c r="G9" s="20">
        <f t="shared" si="3"/>
        <v>1667</v>
      </c>
      <c r="H9" s="20"/>
      <c r="I9" s="19">
        <v>0</v>
      </c>
      <c r="J9" s="20"/>
      <c r="K9" s="20">
        <f t="shared" si="0"/>
        <v>1667</v>
      </c>
      <c r="M9" s="57">
        <f t="shared" si="1"/>
        <v>0</v>
      </c>
      <c r="N9" s="58">
        <f t="shared" si="2"/>
        <v>1667</v>
      </c>
      <c r="O9" s="57">
        <v>0</v>
      </c>
    </row>
    <row r="10" spans="1:15" x14ac:dyDescent="0.25">
      <c r="A10" s="3"/>
      <c r="B10" s="3"/>
      <c r="C10" s="18" t="s">
        <v>226</v>
      </c>
      <c r="D10" s="18"/>
      <c r="E10" s="19"/>
      <c r="F10" s="20"/>
      <c r="G10" s="20">
        <f t="shared" si="3"/>
        <v>0</v>
      </c>
      <c r="H10" s="20"/>
      <c r="I10" s="19"/>
      <c r="J10" s="20"/>
      <c r="K10" s="20"/>
      <c r="M10" s="57"/>
      <c r="N10" s="58"/>
      <c r="O10" s="57"/>
    </row>
    <row r="11" spans="1:15" x14ac:dyDescent="0.25">
      <c r="A11" s="3"/>
      <c r="B11" s="3"/>
      <c r="C11" s="18"/>
      <c r="D11" s="18" t="s">
        <v>77</v>
      </c>
      <c r="E11" s="19">
        <v>0</v>
      </c>
      <c r="F11" s="20"/>
      <c r="G11" s="20">
        <f t="shared" si="3"/>
        <v>0</v>
      </c>
      <c r="H11" s="20"/>
      <c r="I11" s="19">
        <v>0</v>
      </c>
      <c r="J11" s="20"/>
      <c r="K11" s="20">
        <f t="shared" si="0"/>
        <v>0</v>
      </c>
      <c r="M11" s="57">
        <f t="shared" si="1"/>
        <v>0</v>
      </c>
      <c r="N11" s="58">
        <f t="shared" si="2"/>
        <v>0</v>
      </c>
      <c r="O11" s="57">
        <v>0</v>
      </c>
    </row>
    <row r="12" spans="1:15" x14ac:dyDescent="0.25">
      <c r="A12" s="3"/>
      <c r="B12" s="3"/>
      <c r="C12" s="18"/>
      <c r="D12" s="18" t="s">
        <v>227</v>
      </c>
      <c r="E12" s="19">
        <v>98181.64</v>
      </c>
      <c r="F12" s="20"/>
      <c r="G12" s="20">
        <f t="shared" si="3"/>
        <v>130909</v>
      </c>
      <c r="H12" s="20"/>
      <c r="I12" s="19">
        <v>144556.79999999999</v>
      </c>
      <c r="J12" s="20"/>
      <c r="K12" s="20">
        <f t="shared" si="0"/>
        <v>-13647.799999999988</v>
      </c>
      <c r="M12" s="57">
        <f t="shared" si="1"/>
        <v>144556.79999999999</v>
      </c>
      <c r="N12" s="58">
        <v>129899</v>
      </c>
      <c r="O12" s="59">
        <v>192416</v>
      </c>
    </row>
    <row r="13" spans="1:15" x14ac:dyDescent="0.25">
      <c r="A13" s="3"/>
      <c r="B13" s="3"/>
      <c r="C13" s="18"/>
      <c r="D13" s="18" t="s">
        <v>228</v>
      </c>
      <c r="E13" s="19">
        <v>0</v>
      </c>
      <c r="F13" s="20"/>
      <c r="G13" s="20">
        <f t="shared" si="3"/>
        <v>0</v>
      </c>
      <c r="H13" s="20"/>
      <c r="I13" s="19">
        <v>350</v>
      </c>
      <c r="J13" s="20"/>
      <c r="K13" s="20">
        <f t="shared" si="0"/>
        <v>-350</v>
      </c>
      <c r="M13" s="57">
        <f>+I13</f>
        <v>350</v>
      </c>
      <c r="N13" s="58">
        <f t="shared" si="2"/>
        <v>0</v>
      </c>
      <c r="O13" s="57">
        <v>350</v>
      </c>
    </row>
    <row r="14" spans="1:15" x14ac:dyDescent="0.25">
      <c r="A14" s="3"/>
      <c r="B14" s="3"/>
      <c r="C14" s="18"/>
      <c r="D14" s="18" t="s">
        <v>229</v>
      </c>
      <c r="E14" s="19">
        <v>750</v>
      </c>
      <c r="F14" s="20"/>
      <c r="G14" s="20">
        <f t="shared" si="3"/>
        <v>1000</v>
      </c>
      <c r="H14" s="20"/>
      <c r="I14" s="19">
        <v>0</v>
      </c>
      <c r="J14" s="20"/>
      <c r="K14" s="20"/>
      <c r="M14" s="57">
        <f t="shared" si="1"/>
        <v>0</v>
      </c>
      <c r="N14" s="58">
        <f t="shared" si="2"/>
        <v>1000</v>
      </c>
      <c r="O14" s="57">
        <v>0</v>
      </c>
    </row>
    <row r="15" spans="1:15" x14ac:dyDescent="0.25">
      <c r="A15" s="3"/>
      <c r="B15" s="3"/>
      <c r="C15" s="18" t="s">
        <v>230</v>
      </c>
      <c r="D15" s="18"/>
      <c r="E15" s="19"/>
      <c r="F15" s="20"/>
      <c r="G15" s="20">
        <f t="shared" si="3"/>
        <v>0</v>
      </c>
      <c r="H15" s="20"/>
      <c r="I15" s="19"/>
      <c r="J15" s="20"/>
      <c r="K15" s="20"/>
      <c r="M15" s="57"/>
      <c r="N15" s="58"/>
      <c r="O15" s="57"/>
    </row>
    <row r="16" spans="1:15" x14ac:dyDescent="0.25">
      <c r="A16" s="3"/>
      <c r="B16" s="3"/>
      <c r="C16" s="18"/>
      <c r="D16" s="18" t="s">
        <v>231</v>
      </c>
      <c r="E16" s="19">
        <v>0</v>
      </c>
      <c r="F16" s="20"/>
      <c r="G16" s="20">
        <f t="shared" si="3"/>
        <v>0</v>
      </c>
      <c r="H16" s="20"/>
      <c r="I16" s="19">
        <v>0</v>
      </c>
      <c r="J16" s="20"/>
      <c r="K16" s="20">
        <f t="shared" ref="K16:K25" si="4">+G16-I16</f>
        <v>0</v>
      </c>
      <c r="M16" s="57">
        <f t="shared" ref="M16:M25" si="5">+I16</f>
        <v>0</v>
      </c>
      <c r="N16" s="58">
        <f t="shared" si="2"/>
        <v>0</v>
      </c>
      <c r="O16" s="57">
        <v>0</v>
      </c>
    </row>
    <row r="17" spans="1:15" x14ac:dyDescent="0.25">
      <c r="A17" s="3"/>
      <c r="B17" s="3"/>
      <c r="C17" s="18"/>
      <c r="D17" s="18" t="s">
        <v>232</v>
      </c>
      <c r="E17" s="19">
        <v>0</v>
      </c>
      <c r="F17" s="20"/>
      <c r="G17" s="20">
        <f t="shared" si="3"/>
        <v>0</v>
      </c>
      <c r="H17" s="20"/>
      <c r="I17" s="19">
        <v>0</v>
      </c>
      <c r="J17" s="20"/>
      <c r="K17" s="20"/>
      <c r="M17" s="57">
        <f t="shared" si="5"/>
        <v>0</v>
      </c>
      <c r="N17" s="58">
        <f t="shared" si="2"/>
        <v>0</v>
      </c>
      <c r="O17" s="57">
        <v>0</v>
      </c>
    </row>
    <row r="18" spans="1:15" x14ac:dyDescent="0.25">
      <c r="A18" s="3"/>
      <c r="D18" s="18" t="s">
        <v>233</v>
      </c>
      <c r="E18" s="19">
        <v>0</v>
      </c>
      <c r="F18" s="20"/>
      <c r="G18" s="20">
        <f t="shared" si="3"/>
        <v>0</v>
      </c>
      <c r="H18" s="20"/>
      <c r="I18" s="19"/>
      <c r="J18" s="20"/>
      <c r="K18" s="20"/>
      <c r="M18" s="57">
        <v>0</v>
      </c>
      <c r="N18" s="58">
        <f t="shared" si="2"/>
        <v>0</v>
      </c>
      <c r="O18" s="57">
        <v>0</v>
      </c>
    </row>
    <row r="19" spans="1:15" x14ac:dyDescent="0.25">
      <c r="A19" s="3"/>
      <c r="B19" s="3"/>
      <c r="C19" s="18"/>
      <c r="D19" s="18" t="s">
        <v>234</v>
      </c>
      <c r="E19" s="19">
        <v>0</v>
      </c>
      <c r="F19" s="20"/>
      <c r="G19" s="20">
        <f t="shared" si="3"/>
        <v>0</v>
      </c>
      <c r="H19" s="20"/>
      <c r="I19" s="19"/>
      <c r="J19" s="20"/>
      <c r="K19" s="20">
        <f t="shared" si="4"/>
        <v>0</v>
      </c>
      <c r="M19" s="57">
        <f t="shared" si="5"/>
        <v>0</v>
      </c>
      <c r="N19" s="58">
        <f t="shared" si="2"/>
        <v>0</v>
      </c>
      <c r="O19" s="57">
        <v>0</v>
      </c>
    </row>
    <row r="20" spans="1:15" x14ac:dyDescent="0.25">
      <c r="A20" s="3"/>
      <c r="B20" s="3"/>
      <c r="C20" s="18" t="s">
        <v>235</v>
      </c>
      <c r="D20" s="18"/>
      <c r="E20" s="19">
        <v>0</v>
      </c>
      <c r="F20" s="20"/>
      <c r="G20" s="20">
        <f t="shared" si="3"/>
        <v>0</v>
      </c>
      <c r="H20" s="20"/>
      <c r="I20" s="19">
        <v>0</v>
      </c>
      <c r="J20" s="20"/>
      <c r="K20" s="20">
        <f t="shared" si="4"/>
        <v>0</v>
      </c>
      <c r="M20" s="57">
        <f t="shared" si="5"/>
        <v>0</v>
      </c>
      <c r="N20" s="58">
        <f t="shared" si="2"/>
        <v>0</v>
      </c>
      <c r="O20" s="57">
        <v>0</v>
      </c>
    </row>
    <row r="21" spans="1:15" x14ac:dyDescent="0.25">
      <c r="A21" s="3"/>
      <c r="B21" s="3"/>
      <c r="C21" s="18" t="s">
        <v>236</v>
      </c>
      <c r="D21" s="3"/>
      <c r="E21" s="19">
        <v>6305</v>
      </c>
      <c r="F21" s="20"/>
      <c r="G21" s="20">
        <f t="shared" si="3"/>
        <v>8407</v>
      </c>
      <c r="H21" s="20"/>
      <c r="I21" s="19">
        <v>1000</v>
      </c>
      <c r="J21" s="20"/>
      <c r="K21" s="20">
        <f t="shared" si="4"/>
        <v>7407</v>
      </c>
      <c r="M21" s="57">
        <f t="shared" si="5"/>
        <v>1000</v>
      </c>
      <c r="N21" s="58">
        <f t="shared" si="2"/>
        <v>8407</v>
      </c>
      <c r="O21" s="57">
        <v>2000</v>
      </c>
    </row>
    <row r="22" spans="1:15" x14ac:dyDescent="0.25">
      <c r="A22" s="3"/>
      <c r="B22" s="3"/>
      <c r="C22" s="18" t="s">
        <v>237</v>
      </c>
      <c r="D22" s="3"/>
      <c r="E22" s="19">
        <v>0</v>
      </c>
      <c r="F22" s="20"/>
      <c r="G22" s="20">
        <f t="shared" si="3"/>
        <v>0</v>
      </c>
      <c r="H22" s="20"/>
      <c r="I22" s="19">
        <v>100</v>
      </c>
      <c r="J22" s="20"/>
      <c r="K22" s="20">
        <f t="shared" si="4"/>
        <v>-100</v>
      </c>
      <c r="M22" s="57">
        <f t="shared" si="5"/>
        <v>100</v>
      </c>
      <c r="N22" s="58">
        <f t="shared" si="2"/>
        <v>0</v>
      </c>
      <c r="O22" s="57">
        <v>100</v>
      </c>
    </row>
    <row r="23" spans="1:15" x14ac:dyDescent="0.25">
      <c r="A23" s="3"/>
      <c r="B23" s="3"/>
      <c r="C23" s="18" t="s">
        <v>238</v>
      </c>
      <c r="D23" s="3"/>
      <c r="E23" s="19">
        <f>1860.24+45.14</f>
        <v>1905.38</v>
      </c>
      <c r="F23" s="20"/>
      <c r="G23" s="20">
        <f t="shared" si="3"/>
        <v>2541</v>
      </c>
      <c r="H23" s="20"/>
      <c r="I23" s="19">
        <v>0</v>
      </c>
      <c r="J23" s="20"/>
      <c r="K23" s="20">
        <f t="shared" si="4"/>
        <v>2541</v>
      </c>
      <c r="M23" s="57">
        <f t="shared" si="5"/>
        <v>0</v>
      </c>
      <c r="N23" s="58">
        <f t="shared" si="2"/>
        <v>2541</v>
      </c>
      <c r="O23" s="57">
        <v>0</v>
      </c>
    </row>
    <row r="24" spans="1:15" x14ac:dyDescent="0.25">
      <c r="A24" s="3"/>
      <c r="B24" s="3"/>
      <c r="C24" s="18" t="s">
        <v>239</v>
      </c>
      <c r="D24" s="3"/>
      <c r="E24" s="19">
        <v>0</v>
      </c>
      <c r="F24" s="20"/>
      <c r="G24" s="20">
        <f t="shared" si="3"/>
        <v>0</v>
      </c>
      <c r="H24" s="20"/>
      <c r="I24" s="19">
        <v>45000</v>
      </c>
      <c r="J24" s="20"/>
      <c r="K24" s="20">
        <f t="shared" si="4"/>
        <v>-45000</v>
      </c>
      <c r="M24" s="57">
        <f t="shared" si="5"/>
        <v>45000</v>
      </c>
      <c r="N24" s="58">
        <f t="shared" si="2"/>
        <v>0</v>
      </c>
      <c r="O24" s="57">
        <v>45000</v>
      </c>
    </row>
    <row r="25" spans="1:15" x14ac:dyDescent="0.25">
      <c r="A25" s="3"/>
      <c r="B25" s="3"/>
      <c r="C25" s="18" t="s">
        <v>240</v>
      </c>
      <c r="D25" s="3"/>
      <c r="E25" s="19"/>
      <c r="F25" s="20"/>
      <c r="G25" s="20">
        <f t="shared" ref="G25" si="6">ROUND(E25/9*12,0)</f>
        <v>0</v>
      </c>
      <c r="H25" s="20"/>
      <c r="I25" s="19">
        <v>0</v>
      </c>
      <c r="J25" s="20"/>
      <c r="K25" s="20">
        <f t="shared" si="4"/>
        <v>0</v>
      </c>
      <c r="M25" s="57">
        <f t="shared" si="5"/>
        <v>0</v>
      </c>
      <c r="N25" s="58">
        <f t="shared" si="2"/>
        <v>0</v>
      </c>
      <c r="O25" s="57">
        <v>0</v>
      </c>
    </row>
    <row r="26" spans="1:15" ht="15.75" thickBot="1" x14ac:dyDescent="0.3">
      <c r="A26" s="3"/>
      <c r="B26" s="3"/>
      <c r="C26" s="3"/>
      <c r="D26" s="3"/>
      <c r="E26" s="19"/>
      <c r="F26" s="20"/>
      <c r="G26" s="20"/>
      <c r="H26" s="20"/>
      <c r="I26" s="19"/>
      <c r="J26" s="20"/>
      <c r="K26" s="20"/>
      <c r="M26" s="57"/>
      <c r="N26" s="58"/>
      <c r="O26" s="57"/>
    </row>
    <row r="27" spans="1:15" ht="15.75" thickBot="1" x14ac:dyDescent="0.3">
      <c r="A27" s="3"/>
      <c r="B27" s="3"/>
      <c r="C27" s="3" t="s">
        <v>87</v>
      </c>
      <c r="D27" s="3"/>
      <c r="E27" s="60">
        <f>SUM(E4:E25)</f>
        <v>330447.07</v>
      </c>
      <c r="F27" s="20"/>
      <c r="G27" s="37">
        <f>SUM(G4:G25)</f>
        <v>440597</v>
      </c>
      <c r="H27" s="20"/>
      <c r="I27" s="60">
        <f>SUM(I4:I25)</f>
        <v>491941.6</v>
      </c>
      <c r="J27" s="20"/>
      <c r="K27" s="37">
        <f>SUM(K4:K25)</f>
        <v>-52344.599999999977</v>
      </c>
      <c r="M27" s="38">
        <f t="shared" ref="M27:O27" si="7">SUM(M4:M25)</f>
        <v>491941.6</v>
      </c>
      <c r="N27" s="37">
        <f t="shared" si="7"/>
        <v>434201</v>
      </c>
      <c r="O27" s="38">
        <f t="shared" si="7"/>
        <v>650322.24800000002</v>
      </c>
    </row>
    <row r="28" spans="1:15" x14ac:dyDescent="0.25">
      <c r="A28" s="3"/>
      <c r="B28" s="3"/>
      <c r="C28" s="3"/>
      <c r="D28" s="3"/>
      <c r="E28" s="61"/>
      <c r="F28" s="20"/>
      <c r="G28" s="42"/>
      <c r="H28" s="20"/>
      <c r="I28" s="61"/>
      <c r="J28" s="20"/>
      <c r="K28" s="42"/>
      <c r="M28" s="62"/>
      <c r="N28" s="63"/>
      <c r="O28" s="62"/>
    </row>
    <row r="29" spans="1:15" x14ac:dyDescent="0.25">
      <c r="A29" s="3"/>
      <c r="B29" s="3"/>
      <c r="C29" s="3" t="s">
        <v>88</v>
      </c>
      <c r="D29" s="3"/>
      <c r="E29" s="19"/>
      <c r="F29" s="20"/>
      <c r="G29" s="20"/>
      <c r="H29" s="20"/>
      <c r="I29" s="19"/>
      <c r="J29" s="20"/>
      <c r="K29" s="20"/>
      <c r="M29" s="57"/>
      <c r="N29" s="58"/>
      <c r="O29" s="57"/>
    </row>
    <row r="30" spans="1:15" x14ac:dyDescent="0.25">
      <c r="A30" s="3"/>
      <c r="B30" s="3"/>
      <c r="C30" s="18" t="s">
        <v>241</v>
      </c>
      <c r="D30" s="18"/>
      <c r="E30" s="19"/>
      <c r="F30" s="20"/>
      <c r="G30" s="20"/>
      <c r="H30" s="20"/>
      <c r="I30" s="19"/>
      <c r="J30" s="20"/>
      <c r="K30" s="20">
        <f t="shared" ref="K30:K124" si="8">+G30-I30</f>
        <v>0</v>
      </c>
      <c r="M30" s="57"/>
      <c r="N30" s="58"/>
      <c r="O30" s="64"/>
    </row>
    <row r="31" spans="1:15" x14ac:dyDescent="0.25">
      <c r="A31" s="3"/>
      <c r="B31" s="3"/>
      <c r="C31" s="18"/>
      <c r="D31" s="18" t="s">
        <v>242</v>
      </c>
      <c r="E31" s="19">
        <v>0</v>
      </c>
      <c r="F31" s="20"/>
      <c r="G31" s="20">
        <f t="shared" ref="G31:G94" si="9">ROUND(E31/9*12,0)</f>
        <v>0</v>
      </c>
      <c r="H31" s="20"/>
      <c r="I31" s="19">
        <v>0</v>
      </c>
      <c r="J31" s="20"/>
      <c r="K31" s="20">
        <f t="shared" si="8"/>
        <v>0</v>
      </c>
      <c r="M31" s="57">
        <f t="shared" ref="M31:M53" si="10">+I31</f>
        <v>0</v>
      </c>
      <c r="N31" s="58">
        <f t="shared" ref="N31:N124" si="11">+G31</f>
        <v>0</v>
      </c>
      <c r="O31" s="57">
        <v>0</v>
      </c>
    </row>
    <row r="32" spans="1:15" x14ac:dyDescent="0.25">
      <c r="A32" s="3"/>
      <c r="B32" s="3"/>
      <c r="C32" s="18"/>
      <c r="D32" s="18" t="s">
        <v>243</v>
      </c>
      <c r="E32" s="19">
        <v>0</v>
      </c>
      <c r="F32" s="20"/>
      <c r="G32" s="20">
        <f t="shared" si="9"/>
        <v>0</v>
      </c>
      <c r="H32" s="20"/>
      <c r="I32" s="19">
        <v>0</v>
      </c>
      <c r="J32" s="20"/>
      <c r="K32" s="20">
        <f t="shared" si="8"/>
        <v>0</v>
      </c>
      <c r="M32" s="57">
        <f t="shared" si="10"/>
        <v>0</v>
      </c>
      <c r="N32" s="58">
        <f t="shared" si="11"/>
        <v>0</v>
      </c>
      <c r="O32" s="57">
        <v>0</v>
      </c>
    </row>
    <row r="33" spans="1:19" x14ac:dyDescent="0.25">
      <c r="A33" s="3"/>
      <c r="B33" s="3"/>
      <c r="C33" s="18"/>
      <c r="D33" s="18" t="s">
        <v>244</v>
      </c>
      <c r="E33" s="19">
        <v>0</v>
      </c>
      <c r="F33" s="20"/>
      <c r="G33" s="20">
        <f t="shared" si="9"/>
        <v>0</v>
      </c>
      <c r="H33" s="20"/>
      <c r="I33" s="19">
        <v>0</v>
      </c>
      <c r="J33" s="20"/>
      <c r="K33" s="20">
        <f t="shared" si="8"/>
        <v>0</v>
      </c>
      <c r="M33" s="57">
        <f t="shared" si="10"/>
        <v>0</v>
      </c>
      <c r="N33" s="58">
        <f t="shared" si="11"/>
        <v>0</v>
      </c>
      <c r="O33" s="57">
        <v>0</v>
      </c>
    </row>
    <row r="34" spans="1:19" x14ac:dyDescent="0.25">
      <c r="A34" s="3"/>
      <c r="B34" s="3"/>
      <c r="C34" s="18"/>
      <c r="D34" s="18" t="s">
        <v>245</v>
      </c>
      <c r="E34" s="19">
        <v>0</v>
      </c>
      <c r="F34" s="20"/>
      <c r="G34" s="20">
        <f t="shared" si="9"/>
        <v>0</v>
      </c>
      <c r="H34" s="20"/>
      <c r="I34" s="19">
        <v>0</v>
      </c>
      <c r="J34" s="20"/>
      <c r="K34" s="20">
        <f t="shared" si="8"/>
        <v>0</v>
      </c>
      <c r="M34" s="57">
        <f t="shared" si="10"/>
        <v>0</v>
      </c>
      <c r="N34" s="58">
        <f t="shared" si="11"/>
        <v>0</v>
      </c>
      <c r="O34" s="57">
        <v>0</v>
      </c>
    </row>
    <row r="35" spans="1:19" x14ac:dyDescent="0.25">
      <c r="A35" s="3"/>
      <c r="B35" s="3"/>
      <c r="C35" s="18"/>
      <c r="D35" s="18" t="s">
        <v>246</v>
      </c>
      <c r="E35" s="19">
        <v>0</v>
      </c>
      <c r="F35" s="20"/>
      <c r="G35" s="20">
        <f t="shared" si="9"/>
        <v>0</v>
      </c>
      <c r="H35" s="20"/>
      <c r="I35" s="19">
        <v>0</v>
      </c>
      <c r="J35" s="20"/>
      <c r="K35" s="20">
        <f t="shared" si="8"/>
        <v>0</v>
      </c>
      <c r="M35" s="57">
        <f t="shared" si="10"/>
        <v>0</v>
      </c>
      <c r="N35" s="58">
        <f t="shared" si="11"/>
        <v>0</v>
      </c>
      <c r="O35" s="57">
        <v>0</v>
      </c>
    </row>
    <row r="36" spans="1:19" x14ac:dyDescent="0.25">
      <c r="A36" s="3"/>
      <c r="B36" s="3"/>
      <c r="C36" s="18" t="s">
        <v>247</v>
      </c>
      <c r="D36" s="18"/>
      <c r="E36" s="19"/>
      <c r="F36" s="20"/>
      <c r="G36" s="20">
        <f t="shared" si="9"/>
        <v>0</v>
      </c>
      <c r="H36" s="20"/>
      <c r="I36" s="19"/>
      <c r="J36" s="20"/>
      <c r="K36" s="20">
        <f t="shared" si="8"/>
        <v>0</v>
      </c>
      <c r="M36" s="57"/>
      <c r="N36" s="58"/>
      <c r="O36" s="57"/>
    </row>
    <row r="37" spans="1:19" x14ac:dyDescent="0.25">
      <c r="A37" s="3"/>
      <c r="B37" s="3"/>
      <c r="C37" s="18"/>
      <c r="D37" s="18" t="s">
        <v>248</v>
      </c>
      <c r="E37" s="19">
        <v>0</v>
      </c>
      <c r="F37" s="20"/>
      <c r="G37" s="20">
        <f t="shared" si="9"/>
        <v>0</v>
      </c>
      <c r="H37" s="20"/>
      <c r="I37" s="19">
        <v>0</v>
      </c>
      <c r="J37" s="20"/>
      <c r="K37" s="20">
        <f t="shared" si="8"/>
        <v>0</v>
      </c>
      <c r="M37" s="57">
        <f t="shared" si="10"/>
        <v>0</v>
      </c>
      <c r="N37" s="58">
        <f t="shared" si="11"/>
        <v>0</v>
      </c>
      <c r="O37" s="57">
        <v>0</v>
      </c>
    </row>
    <row r="38" spans="1:19" x14ac:dyDescent="0.25">
      <c r="A38" s="3"/>
      <c r="B38" s="3"/>
      <c r="C38" s="18"/>
      <c r="D38" s="18" t="s">
        <v>249</v>
      </c>
      <c r="E38" s="19">
        <v>0</v>
      </c>
      <c r="F38" s="20"/>
      <c r="G38" s="20">
        <f t="shared" si="9"/>
        <v>0</v>
      </c>
      <c r="H38" s="20"/>
      <c r="I38" s="19">
        <v>0</v>
      </c>
      <c r="J38" s="20"/>
      <c r="K38" s="20">
        <f t="shared" si="8"/>
        <v>0</v>
      </c>
      <c r="M38" s="57">
        <f t="shared" si="10"/>
        <v>0</v>
      </c>
      <c r="N38" s="58">
        <f t="shared" si="11"/>
        <v>0</v>
      </c>
      <c r="O38" s="57">
        <v>0</v>
      </c>
    </row>
    <row r="39" spans="1:19" x14ac:dyDescent="0.25">
      <c r="A39" s="3"/>
      <c r="B39" s="3"/>
      <c r="C39" s="18"/>
      <c r="D39" s="18" t="s">
        <v>250</v>
      </c>
      <c r="E39" s="19">
        <v>16443.599999999999</v>
      </c>
      <c r="F39" s="20"/>
      <c r="G39" s="20">
        <v>20392</v>
      </c>
      <c r="H39" s="20"/>
      <c r="I39" s="19">
        <v>20392</v>
      </c>
      <c r="J39" s="20"/>
      <c r="K39" s="20">
        <f t="shared" si="8"/>
        <v>0</v>
      </c>
      <c r="M39" s="57">
        <f t="shared" si="10"/>
        <v>20392</v>
      </c>
      <c r="N39" s="58">
        <f t="shared" si="11"/>
        <v>20392</v>
      </c>
      <c r="O39" s="57">
        <f>40784/2</f>
        <v>20392</v>
      </c>
    </row>
    <row r="40" spans="1:19" x14ac:dyDescent="0.25">
      <c r="A40" s="3"/>
      <c r="B40" s="3"/>
      <c r="C40" s="18"/>
      <c r="D40" s="18" t="s">
        <v>251</v>
      </c>
      <c r="E40" s="19">
        <v>0</v>
      </c>
      <c r="F40" s="20"/>
      <c r="G40" s="20">
        <v>20392</v>
      </c>
      <c r="H40" s="20"/>
      <c r="I40" s="19">
        <v>20392</v>
      </c>
      <c r="J40" s="20"/>
      <c r="K40" s="20">
        <f t="shared" si="8"/>
        <v>0</v>
      </c>
      <c r="M40" s="57">
        <f t="shared" si="10"/>
        <v>20392</v>
      </c>
      <c r="N40" s="58">
        <f t="shared" si="11"/>
        <v>20392</v>
      </c>
      <c r="O40" s="57">
        <f>40784/2</f>
        <v>20392</v>
      </c>
      <c r="S40" s="65"/>
    </row>
    <row r="41" spans="1:19" x14ac:dyDescent="0.25">
      <c r="A41" s="3"/>
      <c r="B41" s="3"/>
      <c r="C41" s="18"/>
      <c r="D41" s="18" t="s">
        <v>252</v>
      </c>
      <c r="E41" s="19"/>
      <c r="F41" s="20"/>
      <c r="G41" s="20">
        <v>3102</v>
      </c>
      <c r="H41" s="20"/>
      <c r="I41" s="19">
        <v>3102</v>
      </c>
      <c r="J41" s="20"/>
      <c r="K41" s="20">
        <f t="shared" si="8"/>
        <v>0</v>
      </c>
      <c r="M41" s="57">
        <f t="shared" si="10"/>
        <v>3102</v>
      </c>
      <c r="N41" s="58">
        <f t="shared" si="11"/>
        <v>3102</v>
      </c>
      <c r="O41" s="57">
        <v>3102</v>
      </c>
    </row>
    <row r="42" spans="1:19" x14ac:dyDescent="0.25">
      <c r="A42" s="3"/>
      <c r="B42" s="3"/>
      <c r="C42" s="18"/>
      <c r="D42" s="18" t="s">
        <v>253</v>
      </c>
      <c r="E42" s="19"/>
      <c r="F42" s="20"/>
      <c r="G42" s="20">
        <f t="shared" si="9"/>
        <v>0</v>
      </c>
      <c r="H42" s="20"/>
      <c r="I42" s="19"/>
      <c r="J42" s="20"/>
      <c r="K42" s="20">
        <f t="shared" si="8"/>
        <v>0</v>
      </c>
      <c r="M42" s="57">
        <f t="shared" si="10"/>
        <v>0</v>
      </c>
      <c r="N42" s="58">
        <f t="shared" si="11"/>
        <v>0</v>
      </c>
      <c r="O42" s="57">
        <f>13306*2</f>
        <v>26612</v>
      </c>
    </row>
    <row r="43" spans="1:19" x14ac:dyDescent="0.25">
      <c r="A43" s="3"/>
      <c r="B43" s="3"/>
      <c r="C43" s="18"/>
      <c r="D43" s="18" t="s">
        <v>254</v>
      </c>
      <c r="E43" s="19"/>
      <c r="F43" s="20"/>
      <c r="G43" s="20">
        <v>32867.199999999997</v>
      </c>
      <c r="H43" s="20"/>
      <c r="I43" s="19">
        <v>32867.199999999997</v>
      </c>
      <c r="J43" s="20"/>
      <c r="K43" s="20">
        <f t="shared" si="8"/>
        <v>0</v>
      </c>
      <c r="M43" s="57">
        <f t="shared" si="10"/>
        <v>32867.199999999997</v>
      </c>
      <c r="N43" s="58">
        <f t="shared" si="11"/>
        <v>32867.199999999997</v>
      </c>
      <c r="O43" s="57">
        <f>16433.6*2</f>
        <v>32867.199999999997</v>
      </c>
    </row>
    <row r="44" spans="1:19" x14ac:dyDescent="0.25">
      <c r="A44" s="3"/>
      <c r="B44" s="3"/>
      <c r="C44" s="18" t="s">
        <v>255</v>
      </c>
      <c r="D44" s="18"/>
      <c r="E44" s="19"/>
      <c r="F44" s="20"/>
      <c r="G44" s="20">
        <f t="shared" si="9"/>
        <v>0</v>
      </c>
      <c r="H44" s="20"/>
      <c r="I44" s="19"/>
      <c r="J44" s="20"/>
      <c r="K44" s="20">
        <f t="shared" si="8"/>
        <v>0</v>
      </c>
      <c r="M44" s="57"/>
      <c r="N44" s="58"/>
      <c r="O44" s="57"/>
    </row>
    <row r="45" spans="1:19" x14ac:dyDescent="0.25">
      <c r="A45" s="3"/>
      <c r="B45" s="3"/>
      <c r="C45" s="18"/>
      <c r="D45" s="18" t="s">
        <v>256</v>
      </c>
      <c r="E45" s="19">
        <v>12201.14</v>
      </c>
      <c r="F45" s="20"/>
      <c r="G45" s="20">
        <f>ROUND(E45/8*12,0)</f>
        <v>18302</v>
      </c>
      <c r="H45" s="20"/>
      <c r="I45" s="19">
        <v>18545.28</v>
      </c>
      <c r="J45" s="20"/>
      <c r="K45" s="20">
        <f t="shared" si="8"/>
        <v>-243.27999999999884</v>
      </c>
      <c r="M45" s="57">
        <f>+I45</f>
        <v>18545.28</v>
      </c>
      <c r="N45" s="58">
        <f t="shared" si="11"/>
        <v>18302</v>
      </c>
      <c r="O45" s="66" t="e">
        <f>+#REF!</f>
        <v>#REF!</v>
      </c>
    </row>
    <row r="46" spans="1:19" x14ac:dyDescent="0.25">
      <c r="A46" s="3"/>
      <c r="B46" s="3"/>
      <c r="C46" s="18"/>
      <c r="D46" s="18" t="s">
        <v>257</v>
      </c>
      <c r="E46" s="19">
        <v>933.39</v>
      </c>
      <c r="F46" s="20"/>
      <c r="G46" s="20">
        <f t="shared" ref="G46:G49" si="12">ROUND(E46/8*12,0)</f>
        <v>1400</v>
      </c>
      <c r="H46" s="20"/>
      <c r="I46" s="19">
        <v>1489.56</v>
      </c>
      <c r="J46" s="20"/>
      <c r="K46" s="20">
        <f t="shared" si="8"/>
        <v>-89.559999999999945</v>
      </c>
      <c r="M46" s="57">
        <f t="shared" ref="M46:M51" si="13">+I46</f>
        <v>1489.56</v>
      </c>
      <c r="N46" s="58">
        <f t="shared" si="11"/>
        <v>1400</v>
      </c>
      <c r="O46" s="66" t="e">
        <f>+#REF!</f>
        <v>#REF!</v>
      </c>
    </row>
    <row r="47" spans="1:19" x14ac:dyDescent="0.25">
      <c r="A47" s="3"/>
      <c r="B47" s="3"/>
      <c r="C47" s="18"/>
      <c r="D47" s="18" t="s">
        <v>258</v>
      </c>
      <c r="E47" s="19">
        <v>0</v>
      </c>
      <c r="F47" s="20"/>
      <c r="G47" s="20">
        <f t="shared" si="12"/>
        <v>0</v>
      </c>
      <c r="H47" s="20"/>
      <c r="I47" s="19">
        <v>849.27</v>
      </c>
      <c r="J47" s="20"/>
      <c r="K47" s="20">
        <f t="shared" si="8"/>
        <v>-849.27</v>
      </c>
      <c r="M47" s="57">
        <f t="shared" si="13"/>
        <v>849.27</v>
      </c>
      <c r="N47" s="58">
        <f t="shared" si="11"/>
        <v>0</v>
      </c>
      <c r="O47" s="66" t="e">
        <f>+#REF!</f>
        <v>#REF!</v>
      </c>
    </row>
    <row r="48" spans="1:19" x14ac:dyDescent="0.25">
      <c r="A48" s="3"/>
      <c r="B48" s="3"/>
      <c r="C48" s="18"/>
      <c r="D48" s="18" t="s">
        <v>259</v>
      </c>
      <c r="E48" s="19">
        <v>0</v>
      </c>
      <c r="F48" s="20"/>
      <c r="G48" s="20">
        <f t="shared" si="12"/>
        <v>0</v>
      </c>
      <c r="H48" s="20"/>
      <c r="I48" s="19">
        <v>575.29</v>
      </c>
      <c r="J48" s="20"/>
      <c r="K48" s="20">
        <f t="shared" si="8"/>
        <v>-575.29</v>
      </c>
      <c r="M48" s="57">
        <f t="shared" si="13"/>
        <v>575.29</v>
      </c>
      <c r="N48" s="58">
        <f t="shared" si="11"/>
        <v>0</v>
      </c>
      <c r="O48" s="66" t="e">
        <f>+#REF!</f>
        <v>#REF!</v>
      </c>
    </row>
    <row r="49" spans="1:15" x14ac:dyDescent="0.25">
      <c r="A49" s="3"/>
      <c r="B49" s="3"/>
      <c r="C49" s="18"/>
      <c r="D49" s="18" t="s">
        <v>260</v>
      </c>
      <c r="E49" s="19">
        <v>0</v>
      </c>
      <c r="F49" s="20"/>
      <c r="G49" s="20">
        <f t="shared" si="12"/>
        <v>0</v>
      </c>
      <c r="H49" s="20"/>
      <c r="I49" s="19">
        <v>406.88</v>
      </c>
      <c r="J49" s="20"/>
      <c r="K49" s="20">
        <f t="shared" si="8"/>
        <v>-406.88</v>
      </c>
      <c r="M49" s="57">
        <f t="shared" si="13"/>
        <v>406.88</v>
      </c>
      <c r="N49" s="58">
        <f t="shared" si="11"/>
        <v>0</v>
      </c>
      <c r="O49" s="66" t="e">
        <f>+#REF!</f>
        <v>#REF!</v>
      </c>
    </row>
    <row r="50" spans="1:15" x14ac:dyDescent="0.25">
      <c r="A50" s="3"/>
      <c r="B50" s="3"/>
      <c r="C50" s="18"/>
      <c r="D50" s="18" t="s">
        <v>261</v>
      </c>
      <c r="E50" s="19">
        <v>4960.41</v>
      </c>
      <c r="F50" s="20"/>
      <c r="G50" s="20">
        <f t="shared" si="9"/>
        <v>6614</v>
      </c>
      <c r="H50" s="20"/>
      <c r="I50" s="19">
        <v>0</v>
      </c>
      <c r="J50" s="20"/>
      <c r="K50" s="20">
        <f t="shared" si="8"/>
        <v>6614</v>
      </c>
      <c r="M50" s="57">
        <f t="shared" si="13"/>
        <v>0</v>
      </c>
      <c r="N50" s="58">
        <f t="shared" si="11"/>
        <v>6614</v>
      </c>
      <c r="O50" s="57">
        <v>5000</v>
      </c>
    </row>
    <row r="51" spans="1:15" x14ac:dyDescent="0.25">
      <c r="A51" s="3"/>
      <c r="B51" s="3"/>
      <c r="C51" s="18"/>
      <c r="D51" s="18" t="s">
        <v>262</v>
      </c>
      <c r="E51" s="19">
        <v>0</v>
      </c>
      <c r="F51" s="20"/>
      <c r="G51" s="20">
        <f t="shared" si="9"/>
        <v>0</v>
      </c>
      <c r="H51" s="20"/>
      <c r="I51" s="19">
        <v>0</v>
      </c>
      <c r="J51" s="20"/>
      <c r="K51" s="20">
        <f t="shared" si="8"/>
        <v>0</v>
      </c>
      <c r="M51" s="57">
        <f t="shared" si="13"/>
        <v>0</v>
      </c>
      <c r="N51" s="58">
        <f t="shared" si="11"/>
        <v>0</v>
      </c>
      <c r="O51" s="57">
        <v>0</v>
      </c>
    </row>
    <row r="52" spans="1:15" x14ac:dyDescent="0.25">
      <c r="A52" s="3"/>
      <c r="B52" s="3"/>
      <c r="C52" s="18"/>
      <c r="D52" s="18" t="s">
        <v>263</v>
      </c>
      <c r="E52" s="19">
        <f>78003.47+14.98</f>
        <v>78018.45</v>
      </c>
      <c r="F52" s="20"/>
      <c r="G52" s="20">
        <f t="shared" si="9"/>
        <v>104025</v>
      </c>
      <c r="H52" s="20"/>
      <c r="I52" s="19">
        <v>76430.12</v>
      </c>
      <c r="J52" s="20"/>
      <c r="K52" s="20">
        <f t="shared" si="8"/>
        <v>27594.880000000005</v>
      </c>
      <c r="M52" s="57">
        <f t="shared" si="10"/>
        <v>76430.12</v>
      </c>
      <c r="N52" s="58">
        <f t="shared" si="11"/>
        <v>104025</v>
      </c>
      <c r="O52" s="57">
        <f>+N52*1.03</f>
        <v>107145.75</v>
      </c>
    </row>
    <row r="53" spans="1:15" x14ac:dyDescent="0.25">
      <c r="A53" s="3"/>
      <c r="B53" s="3"/>
      <c r="C53" s="18"/>
      <c r="D53" s="18" t="s">
        <v>264</v>
      </c>
      <c r="E53" s="19">
        <v>840.98</v>
      </c>
      <c r="F53" s="20"/>
      <c r="G53" s="20">
        <f t="shared" si="9"/>
        <v>1121</v>
      </c>
      <c r="H53" s="20"/>
      <c r="I53" s="19">
        <v>1500</v>
      </c>
      <c r="J53" s="20"/>
      <c r="K53" s="20">
        <f t="shared" si="8"/>
        <v>-379</v>
      </c>
      <c r="M53" s="57">
        <f t="shared" si="10"/>
        <v>1500</v>
      </c>
      <c r="N53" s="58">
        <f t="shared" si="11"/>
        <v>1121</v>
      </c>
      <c r="O53" s="57">
        <v>1500</v>
      </c>
    </row>
    <row r="54" spans="1:15" x14ac:dyDescent="0.25">
      <c r="A54" s="3"/>
      <c r="B54" s="3"/>
      <c r="C54" s="18" t="s">
        <v>265</v>
      </c>
      <c r="D54" s="18"/>
      <c r="E54" s="19"/>
      <c r="F54" s="20"/>
      <c r="G54" s="20">
        <f t="shared" si="9"/>
        <v>0</v>
      </c>
      <c r="H54" s="20"/>
      <c r="I54" s="19"/>
      <c r="J54" s="20"/>
      <c r="K54" s="20">
        <f t="shared" si="8"/>
        <v>0</v>
      </c>
      <c r="M54" s="57"/>
      <c r="N54" s="58">
        <f t="shared" si="11"/>
        <v>0</v>
      </c>
      <c r="O54" s="57"/>
    </row>
    <row r="55" spans="1:15" x14ac:dyDescent="0.25">
      <c r="A55" s="3"/>
      <c r="B55" s="3"/>
      <c r="C55" s="18"/>
      <c r="D55" s="18" t="s">
        <v>266</v>
      </c>
      <c r="E55" s="19">
        <v>18848.93</v>
      </c>
      <c r="F55" s="20"/>
      <c r="G55" s="20">
        <f t="shared" ref="G55:G60" si="14">ROUND(E55/8*12,0)</f>
        <v>28273</v>
      </c>
      <c r="H55" s="20"/>
      <c r="I55" s="19">
        <v>29633.759999999998</v>
      </c>
      <c r="J55" s="20"/>
      <c r="K55" s="20">
        <f t="shared" si="8"/>
        <v>-1360.7599999999984</v>
      </c>
      <c r="M55" s="57">
        <f t="shared" ref="M55:M123" si="15">+I55</f>
        <v>29633.759999999998</v>
      </c>
      <c r="N55" s="58">
        <f t="shared" si="11"/>
        <v>28273</v>
      </c>
      <c r="O55" s="66" t="e">
        <f>+#REF!</f>
        <v>#REF!</v>
      </c>
    </row>
    <row r="56" spans="1:15" x14ac:dyDescent="0.25">
      <c r="A56" s="3"/>
      <c r="B56" s="3"/>
      <c r="C56" s="18"/>
      <c r="D56" s="18" t="s">
        <v>267</v>
      </c>
      <c r="E56" s="19">
        <v>0</v>
      </c>
      <c r="F56" s="20"/>
      <c r="G56" s="20">
        <f t="shared" si="14"/>
        <v>0</v>
      </c>
      <c r="H56" s="20"/>
      <c r="I56" s="19">
        <v>2500</v>
      </c>
      <c r="J56" s="20"/>
      <c r="K56" s="20">
        <f t="shared" si="8"/>
        <v>-2500</v>
      </c>
      <c r="M56" s="57">
        <f t="shared" si="15"/>
        <v>2500</v>
      </c>
      <c r="N56" s="58">
        <f t="shared" si="11"/>
        <v>0</v>
      </c>
      <c r="O56" s="66">
        <v>2500</v>
      </c>
    </row>
    <row r="57" spans="1:15" x14ac:dyDescent="0.25">
      <c r="A57" s="3"/>
      <c r="B57" s="3"/>
      <c r="C57" s="18"/>
      <c r="D57" s="18" t="s">
        <v>268</v>
      </c>
      <c r="E57" s="19">
        <v>1472.82</v>
      </c>
      <c r="F57" s="20"/>
      <c r="G57" s="20">
        <f t="shared" si="14"/>
        <v>2209</v>
      </c>
      <c r="H57" s="20"/>
      <c r="I57" s="19">
        <v>2566.62</v>
      </c>
      <c r="J57" s="20"/>
      <c r="K57" s="20">
        <f t="shared" si="8"/>
        <v>-357.61999999999989</v>
      </c>
      <c r="M57" s="57">
        <f t="shared" si="15"/>
        <v>2566.62</v>
      </c>
      <c r="N57" s="58">
        <f t="shared" si="11"/>
        <v>2209</v>
      </c>
      <c r="O57" s="66" t="e">
        <f>+#REF!+ROUND(O56*7.65%,2)</f>
        <v>#REF!</v>
      </c>
    </row>
    <row r="58" spans="1:15" x14ac:dyDescent="0.25">
      <c r="A58" s="3"/>
      <c r="B58" s="3"/>
      <c r="C58" s="18"/>
      <c r="D58" s="18" t="s">
        <v>244</v>
      </c>
      <c r="E58" s="19">
        <v>111.15</v>
      </c>
      <c r="F58" s="20"/>
      <c r="G58" s="20">
        <f t="shared" si="14"/>
        <v>167</v>
      </c>
      <c r="H58" s="20"/>
      <c r="I58" s="19">
        <v>1325.68</v>
      </c>
      <c r="J58" s="20"/>
      <c r="K58" s="20">
        <f t="shared" si="8"/>
        <v>-1158.68</v>
      </c>
      <c r="M58" s="57">
        <f t="shared" si="15"/>
        <v>1325.68</v>
      </c>
      <c r="N58" s="58">
        <f t="shared" si="11"/>
        <v>167</v>
      </c>
      <c r="O58" s="66" t="e">
        <f>+#REF!</f>
        <v>#REF!</v>
      </c>
    </row>
    <row r="59" spans="1:15" x14ac:dyDescent="0.25">
      <c r="A59" s="3"/>
      <c r="B59" s="3"/>
      <c r="C59" s="18"/>
      <c r="D59" s="18" t="s">
        <v>269</v>
      </c>
      <c r="E59" s="19">
        <v>330.54</v>
      </c>
      <c r="F59" s="20"/>
      <c r="G59" s="20">
        <f t="shared" si="14"/>
        <v>496</v>
      </c>
      <c r="H59" s="20"/>
      <c r="I59" s="19">
        <v>967.52</v>
      </c>
      <c r="J59" s="20"/>
      <c r="K59" s="20">
        <f t="shared" si="8"/>
        <v>-471.52</v>
      </c>
      <c r="M59" s="57">
        <f t="shared" si="15"/>
        <v>967.52</v>
      </c>
      <c r="N59" s="58">
        <f t="shared" si="11"/>
        <v>496</v>
      </c>
      <c r="O59" s="66" t="e">
        <f>+#REF!</f>
        <v>#REF!</v>
      </c>
    </row>
    <row r="60" spans="1:15" x14ac:dyDescent="0.25">
      <c r="A60" s="3"/>
      <c r="B60" s="3"/>
      <c r="C60" s="18"/>
      <c r="D60" s="18" t="s">
        <v>270</v>
      </c>
      <c r="E60" s="19">
        <v>0</v>
      </c>
      <c r="F60" s="20"/>
      <c r="G60" s="20">
        <f t="shared" si="14"/>
        <v>0</v>
      </c>
      <c r="H60" s="20"/>
      <c r="I60" s="19">
        <v>708.7</v>
      </c>
      <c r="J60" s="20"/>
      <c r="K60" s="20">
        <f t="shared" si="8"/>
        <v>-708.7</v>
      </c>
      <c r="M60" s="57">
        <f t="shared" si="15"/>
        <v>708.7</v>
      </c>
      <c r="N60" s="58">
        <f t="shared" si="11"/>
        <v>0</v>
      </c>
      <c r="O60" s="66" t="e">
        <f>+#REF!</f>
        <v>#REF!</v>
      </c>
    </row>
    <row r="61" spans="1:15" x14ac:dyDescent="0.25">
      <c r="A61" s="3"/>
      <c r="B61" s="3"/>
      <c r="C61" s="18"/>
      <c r="D61" s="18" t="s">
        <v>271</v>
      </c>
      <c r="E61" s="19">
        <v>8012.97</v>
      </c>
      <c r="F61" s="20"/>
      <c r="G61" s="20">
        <f t="shared" si="9"/>
        <v>10684</v>
      </c>
      <c r="H61" s="20"/>
      <c r="I61" s="19">
        <v>0</v>
      </c>
      <c r="J61" s="20"/>
      <c r="K61" s="20">
        <f t="shared" si="8"/>
        <v>10684</v>
      </c>
      <c r="M61" s="57">
        <f t="shared" si="15"/>
        <v>0</v>
      </c>
      <c r="N61" s="58">
        <f t="shared" si="11"/>
        <v>10684</v>
      </c>
      <c r="O61" s="57">
        <v>7500</v>
      </c>
    </row>
    <row r="62" spans="1:15" x14ac:dyDescent="0.25">
      <c r="A62" s="3"/>
      <c r="B62" s="3"/>
      <c r="C62" s="18"/>
      <c r="D62" s="18" t="s">
        <v>272</v>
      </c>
      <c r="E62" s="19">
        <v>673.3</v>
      </c>
      <c r="F62" s="20"/>
      <c r="G62" s="20">
        <f t="shared" si="9"/>
        <v>898</v>
      </c>
      <c r="H62" s="20"/>
      <c r="I62" s="19">
        <v>0</v>
      </c>
      <c r="J62" s="20"/>
      <c r="K62" s="20">
        <f t="shared" si="8"/>
        <v>898</v>
      </c>
      <c r="M62" s="57">
        <f t="shared" si="15"/>
        <v>0</v>
      </c>
      <c r="N62" s="58">
        <f t="shared" si="11"/>
        <v>898</v>
      </c>
      <c r="O62" s="57"/>
    </row>
    <row r="63" spans="1:15" x14ac:dyDescent="0.25">
      <c r="A63" s="3"/>
      <c r="B63" s="3"/>
      <c r="C63" s="18"/>
      <c r="D63" s="18" t="s">
        <v>273</v>
      </c>
      <c r="E63" s="19">
        <v>722.76</v>
      </c>
      <c r="F63" s="20"/>
      <c r="G63" s="20">
        <f t="shared" si="9"/>
        <v>964</v>
      </c>
      <c r="H63" s="20"/>
      <c r="I63" s="19">
        <v>663</v>
      </c>
      <c r="J63" s="20"/>
      <c r="K63" s="20">
        <f t="shared" si="8"/>
        <v>301</v>
      </c>
      <c r="M63" s="57">
        <f t="shared" si="15"/>
        <v>663</v>
      </c>
      <c r="N63" s="58">
        <f t="shared" si="11"/>
        <v>964</v>
      </c>
      <c r="O63" s="57">
        <v>1000</v>
      </c>
    </row>
    <row r="64" spans="1:15" x14ac:dyDescent="0.25">
      <c r="A64" s="3"/>
      <c r="B64" s="3"/>
      <c r="C64" s="18"/>
      <c r="D64" s="18" t="s">
        <v>274</v>
      </c>
      <c r="E64" s="19">
        <v>840.94</v>
      </c>
      <c r="F64" s="20"/>
      <c r="G64" s="20">
        <f t="shared" si="9"/>
        <v>1121</v>
      </c>
      <c r="H64" s="20"/>
      <c r="I64" s="19">
        <v>1500</v>
      </c>
      <c r="J64" s="20"/>
      <c r="K64" s="20">
        <f t="shared" si="8"/>
        <v>-379</v>
      </c>
      <c r="M64" s="57">
        <f t="shared" si="15"/>
        <v>1500</v>
      </c>
      <c r="N64" s="58">
        <f t="shared" si="11"/>
        <v>1121</v>
      </c>
      <c r="O64" s="57">
        <v>1500</v>
      </c>
    </row>
    <row r="65" spans="1:15" x14ac:dyDescent="0.25">
      <c r="A65" s="3"/>
      <c r="B65" s="3"/>
      <c r="C65" s="18"/>
      <c r="D65" s="18" t="s">
        <v>275</v>
      </c>
      <c r="E65" s="19">
        <v>11599.39</v>
      </c>
      <c r="F65" s="20"/>
      <c r="G65" s="20">
        <f t="shared" si="9"/>
        <v>15466</v>
      </c>
      <c r="H65" s="20"/>
      <c r="I65" s="19">
        <v>10000</v>
      </c>
      <c r="J65" s="20"/>
      <c r="K65" s="20">
        <f t="shared" si="8"/>
        <v>5466</v>
      </c>
      <c r="M65" s="57">
        <f t="shared" si="15"/>
        <v>10000</v>
      </c>
      <c r="N65" s="58">
        <f t="shared" si="11"/>
        <v>15466</v>
      </c>
      <c r="O65" s="57">
        <v>15000</v>
      </c>
    </row>
    <row r="66" spans="1:15" x14ac:dyDescent="0.25">
      <c r="A66" s="3"/>
      <c r="B66" s="3"/>
      <c r="C66" s="18"/>
      <c r="D66" s="18" t="s">
        <v>276</v>
      </c>
      <c r="E66" s="19">
        <v>3712.44</v>
      </c>
      <c r="F66" s="20"/>
      <c r="G66" s="20">
        <f t="shared" si="9"/>
        <v>4950</v>
      </c>
      <c r="H66" s="20"/>
      <c r="I66" s="19">
        <v>6605.5</v>
      </c>
      <c r="J66" s="20"/>
      <c r="K66" s="20">
        <f t="shared" si="8"/>
        <v>-1655.5</v>
      </c>
      <c r="M66" s="57">
        <f t="shared" si="15"/>
        <v>6605.5</v>
      </c>
      <c r="N66" s="58">
        <f t="shared" si="11"/>
        <v>4950</v>
      </c>
      <c r="O66" s="57">
        <f>+'[2]Insurance '!C9</f>
        <v>7831</v>
      </c>
    </row>
    <row r="67" spans="1:15" x14ac:dyDescent="0.25">
      <c r="A67" s="3"/>
      <c r="B67" s="3"/>
      <c r="C67" s="18"/>
      <c r="D67" s="18" t="s">
        <v>277</v>
      </c>
      <c r="E67" s="19">
        <v>21369.56</v>
      </c>
      <c r="F67" s="20"/>
      <c r="G67" s="20">
        <f t="shared" si="9"/>
        <v>28493</v>
      </c>
      <c r="H67" s="20"/>
      <c r="I67" s="19">
        <v>20000</v>
      </c>
      <c r="J67" s="20"/>
      <c r="K67" s="20">
        <f t="shared" si="8"/>
        <v>8493</v>
      </c>
      <c r="M67" s="57">
        <f t="shared" si="15"/>
        <v>20000</v>
      </c>
      <c r="N67" s="58">
        <f t="shared" si="11"/>
        <v>28493</v>
      </c>
      <c r="O67" s="57">
        <v>30000</v>
      </c>
    </row>
    <row r="68" spans="1:15" x14ac:dyDescent="0.25">
      <c r="A68" s="3"/>
      <c r="B68" s="3"/>
      <c r="C68" s="18"/>
      <c r="D68" s="18" t="s">
        <v>278</v>
      </c>
      <c r="E68" s="19">
        <v>33.33</v>
      </c>
      <c r="F68" s="20"/>
      <c r="G68" s="20">
        <f t="shared" si="9"/>
        <v>44</v>
      </c>
      <c r="H68" s="20"/>
      <c r="I68" s="19">
        <v>0</v>
      </c>
      <c r="J68" s="20"/>
      <c r="K68" s="20">
        <f t="shared" si="8"/>
        <v>44</v>
      </c>
      <c r="M68" s="57">
        <f t="shared" si="15"/>
        <v>0</v>
      </c>
      <c r="N68" s="58">
        <f t="shared" si="11"/>
        <v>44</v>
      </c>
      <c r="O68" s="57">
        <v>0</v>
      </c>
    </row>
    <row r="69" spans="1:15" x14ac:dyDescent="0.25">
      <c r="A69" s="3"/>
      <c r="B69" s="3"/>
      <c r="C69" s="18"/>
      <c r="D69" s="18" t="s">
        <v>279</v>
      </c>
      <c r="E69" s="19">
        <v>981.98</v>
      </c>
      <c r="F69" s="20"/>
      <c r="G69" s="20">
        <f t="shared" si="9"/>
        <v>1309</v>
      </c>
      <c r="H69" s="20"/>
      <c r="I69" s="19">
        <v>5000</v>
      </c>
      <c r="J69" s="20"/>
      <c r="K69" s="20">
        <f t="shared" si="8"/>
        <v>-3691</v>
      </c>
      <c r="M69" s="57">
        <f t="shared" si="15"/>
        <v>5000</v>
      </c>
      <c r="N69" s="58">
        <f t="shared" si="11"/>
        <v>1309</v>
      </c>
      <c r="O69" s="57">
        <v>5000</v>
      </c>
    </row>
    <row r="70" spans="1:15" x14ac:dyDescent="0.25">
      <c r="A70" s="3"/>
      <c r="B70" s="3"/>
      <c r="C70" s="18"/>
      <c r="D70" s="18" t="s">
        <v>280</v>
      </c>
      <c r="E70" s="19">
        <v>6817.55</v>
      </c>
      <c r="F70" s="20"/>
      <c r="G70" s="20">
        <f t="shared" si="9"/>
        <v>9090</v>
      </c>
      <c r="H70" s="20"/>
      <c r="I70" s="19">
        <v>0</v>
      </c>
      <c r="J70" s="20"/>
      <c r="K70" s="20">
        <f t="shared" si="8"/>
        <v>9090</v>
      </c>
      <c r="M70" s="57">
        <f t="shared" si="15"/>
        <v>0</v>
      </c>
      <c r="N70" s="58">
        <f t="shared" si="11"/>
        <v>9090</v>
      </c>
      <c r="O70" s="57">
        <v>10000</v>
      </c>
    </row>
    <row r="71" spans="1:15" x14ac:dyDescent="0.25">
      <c r="A71" s="3"/>
      <c r="B71" s="3"/>
      <c r="C71" s="18" t="s">
        <v>281</v>
      </c>
      <c r="D71" s="18"/>
      <c r="E71" s="19"/>
      <c r="F71" s="20"/>
      <c r="G71" s="20">
        <f t="shared" si="9"/>
        <v>0</v>
      </c>
      <c r="H71" s="20"/>
      <c r="I71" s="19"/>
      <c r="J71" s="20"/>
      <c r="K71" s="20">
        <f t="shared" si="8"/>
        <v>0</v>
      </c>
      <c r="M71" s="57"/>
      <c r="N71" s="58"/>
      <c r="O71" s="57"/>
    </row>
    <row r="72" spans="1:15" x14ac:dyDescent="0.25">
      <c r="A72" s="3"/>
      <c r="B72" s="3"/>
      <c r="C72" s="18"/>
      <c r="D72" s="18" t="s">
        <v>282</v>
      </c>
      <c r="E72" s="19">
        <v>5456</v>
      </c>
      <c r="F72" s="20"/>
      <c r="G72" s="20">
        <f t="shared" ref="G72:G76" si="16">ROUND(E72/8*12,0)</f>
        <v>8184</v>
      </c>
      <c r="H72" s="20"/>
      <c r="I72" s="19">
        <v>8787.2000000000007</v>
      </c>
      <c r="J72" s="20"/>
      <c r="K72" s="20">
        <f t="shared" si="8"/>
        <v>-603.20000000000073</v>
      </c>
      <c r="M72" s="57">
        <f t="shared" si="15"/>
        <v>8787.2000000000007</v>
      </c>
      <c r="N72" s="58">
        <f t="shared" si="11"/>
        <v>8184</v>
      </c>
      <c r="O72" s="66" t="e">
        <f>+#REF!</f>
        <v>#REF!</v>
      </c>
    </row>
    <row r="73" spans="1:15" x14ac:dyDescent="0.25">
      <c r="A73" s="3"/>
      <c r="B73" s="3"/>
      <c r="C73" s="18"/>
      <c r="D73" s="18" t="s">
        <v>283</v>
      </c>
      <c r="E73" s="19">
        <v>417.4</v>
      </c>
      <c r="F73" s="20"/>
      <c r="G73" s="20">
        <f t="shared" si="16"/>
        <v>626</v>
      </c>
      <c r="H73" s="20"/>
      <c r="I73" s="19">
        <v>708.65</v>
      </c>
      <c r="J73" s="20"/>
      <c r="K73" s="20">
        <f t="shared" si="8"/>
        <v>-82.649999999999977</v>
      </c>
      <c r="M73" s="57">
        <f t="shared" si="15"/>
        <v>708.65</v>
      </c>
      <c r="N73" s="58">
        <f t="shared" si="11"/>
        <v>626</v>
      </c>
      <c r="O73" s="66" t="e">
        <f>+#REF!</f>
        <v>#REF!</v>
      </c>
    </row>
    <row r="74" spans="1:15" x14ac:dyDescent="0.25">
      <c r="A74" s="3"/>
      <c r="B74" s="3"/>
      <c r="C74" s="18"/>
      <c r="D74" s="18" t="s">
        <v>284</v>
      </c>
      <c r="E74" s="19">
        <v>0</v>
      </c>
      <c r="F74" s="20"/>
      <c r="G74" s="20">
        <f t="shared" si="16"/>
        <v>0</v>
      </c>
      <c r="H74" s="20"/>
      <c r="I74" s="19">
        <v>399.36</v>
      </c>
      <c r="J74" s="20"/>
      <c r="K74" s="20">
        <f t="shared" si="8"/>
        <v>-399.36</v>
      </c>
      <c r="M74" s="57">
        <f t="shared" si="15"/>
        <v>399.36</v>
      </c>
      <c r="N74" s="58">
        <f t="shared" si="11"/>
        <v>0</v>
      </c>
      <c r="O74" s="66" t="e">
        <f>+#REF!</f>
        <v>#REF!</v>
      </c>
    </row>
    <row r="75" spans="1:15" x14ac:dyDescent="0.25">
      <c r="A75" s="3"/>
      <c r="B75" s="3"/>
      <c r="C75" s="18"/>
      <c r="D75" s="18" t="s">
        <v>285</v>
      </c>
      <c r="E75" s="19">
        <v>0</v>
      </c>
      <c r="F75" s="20"/>
      <c r="G75" s="20">
        <f t="shared" si="16"/>
        <v>0</v>
      </c>
      <c r="H75" s="20"/>
      <c r="I75" s="19">
        <v>209.2</v>
      </c>
      <c r="J75" s="20"/>
      <c r="K75" s="20">
        <f t="shared" si="8"/>
        <v>-209.2</v>
      </c>
      <c r="M75" s="57">
        <f t="shared" si="15"/>
        <v>209.2</v>
      </c>
      <c r="N75" s="58">
        <f t="shared" si="11"/>
        <v>0</v>
      </c>
      <c r="O75" s="66" t="e">
        <f>+#REF!</f>
        <v>#REF!</v>
      </c>
    </row>
    <row r="76" spans="1:15" x14ac:dyDescent="0.25">
      <c r="A76" s="3"/>
      <c r="B76" s="3"/>
      <c r="C76" s="18"/>
      <c r="D76" s="18" t="s">
        <v>286</v>
      </c>
      <c r="E76" s="19">
        <v>0</v>
      </c>
      <c r="F76" s="20"/>
      <c r="G76" s="20">
        <f t="shared" si="16"/>
        <v>0</v>
      </c>
      <c r="H76" s="20"/>
      <c r="I76" s="19">
        <v>408.27</v>
      </c>
      <c r="J76" s="20"/>
      <c r="K76" s="20">
        <f t="shared" si="8"/>
        <v>-408.27</v>
      </c>
      <c r="M76" s="57">
        <f t="shared" si="15"/>
        <v>408.27</v>
      </c>
      <c r="N76" s="58">
        <f t="shared" si="11"/>
        <v>0</v>
      </c>
      <c r="O76" s="66" t="e">
        <f>+#REF!</f>
        <v>#REF!</v>
      </c>
    </row>
    <row r="77" spans="1:15" x14ac:dyDescent="0.25">
      <c r="A77" s="3"/>
      <c r="B77" s="3"/>
      <c r="C77" s="18"/>
      <c r="D77" s="18" t="s">
        <v>287</v>
      </c>
      <c r="E77" s="19">
        <v>2937</v>
      </c>
      <c r="F77" s="20"/>
      <c r="G77" s="20">
        <f t="shared" si="9"/>
        <v>3916</v>
      </c>
      <c r="H77" s="20"/>
      <c r="I77" s="19">
        <v>0</v>
      </c>
      <c r="J77" s="20"/>
      <c r="K77" s="20">
        <f t="shared" si="8"/>
        <v>3916</v>
      </c>
      <c r="M77" s="57">
        <f t="shared" si="15"/>
        <v>0</v>
      </c>
      <c r="N77" s="58">
        <f t="shared" si="11"/>
        <v>3916</v>
      </c>
      <c r="O77" s="57">
        <v>0</v>
      </c>
    </row>
    <row r="78" spans="1:15" x14ac:dyDescent="0.25">
      <c r="A78" s="3"/>
      <c r="B78" s="3"/>
      <c r="C78" s="18"/>
      <c r="D78" s="18" t="s">
        <v>288</v>
      </c>
      <c r="E78" s="19">
        <v>673.28</v>
      </c>
      <c r="F78" s="20"/>
      <c r="G78" s="20">
        <f t="shared" si="9"/>
        <v>898</v>
      </c>
      <c r="H78" s="20"/>
      <c r="I78" s="19">
        <v>0</v>
      </c>
      <c r="J78" s="20"/>
      <c r="K78" s="20">
        <f t="shared" si="8"/>
        <v>898</v>
      </c>
      <c r="M78" s="57">
        <f t="shared" si="15"/>
        <v>0</v>
      </c>
      <c r="N78" s="58">
        <f t="shared" si="11"/>
        <v>898</v>
      </c>
      <c r="O78" s="57">
        <v>500</v>
      </c>
    </row>
    <row r="79" spans="1:15" x14ac:dyDescent="0.25">
      <c r="A79" s="3"/>
      <c r="B79" s="3"/>
      <c r="C79" s="18"/>
      <c r="D79" s="18" t="s">
        <v>289</v>
      </c>
      <c r="E79" s="19">
        <v>0</v>
      </c>
      <c r="F79" s="20"/>
      <c r="G79" s="20">
        <f t="shared" si="9"/>
        <v>0</v>
      </c>
      <c r="H79" s="20"/>
      <c r="I79" s="19">
        <v>432</v>
      </c>
      <c r="J79" s="20"/>
      <c r="K79" s="20">
        <f t="shared" si="8"/>
        <v>-432</v>
      </c>
      <c r="M79" s="57">
        <f t="shared" si="15"/>
        <v>432</v>
      </c>
      <c r="N79" s="58">
        <f t="shared" si="11"/>
        <v>0</v>
      </c>
      <c r="O79" s="57">
        <f>36*12</f>
        <v>432</v>
      </c>
    </row>
    <row r="80" spans="1:15" x14ac:dyDescent="0.25">
      <c r="A80" s="3"/>
      <c r="B80" s="3"/>
      <c r="C80" s="18"/>
      <c r="D80" s="18" t="s">
        <v>290</v>
      </c>
      <c r="E80" s="19">
        <v>291.29000000000002</v>
      </c>
      <c r="F80" s="20"/>
      <c r="G80" s="20">
        <f t="shared" si="9"/>
        <v>388</v>
      </c>
      <c r="H80" s="20"/>
      <c r="I80" s="19">
        <v>7560</v>
      </c>
      <c r="J80" s="20"/>
      <c r="K80" s="20">
        <f t="shared" si="8"/>
        <v>-7172</v>
      </c>
      <c r="M80" s="57">
        <f t="shared" si="15"/>
        <v>7560</v>
      </c>
      <c r="N80" s="58">
        <f t="shared" si="11"/>
        <v>388</v>
      </c>
      <c r="O80" s="57">
        <v>560</v>
      </c>
    </row>
    <row r="81" spans="1:15" x14ac:dyDescent="0.25">
      <c r="A81" s="3"/>
      <c r="B81" s="3"/>
      <c r="C81" s="18"/>
      <c r="D81" s="18" t="s">
        <v>291</v>
      </c>
      <c r="E81" s="19">
        <v>3711.72</v>
      </c>
      <c r="F81" s="20"/>
      <c r="G81" s="20">
        <f t="shared" si="9"/>
        <v>4949</v>
      </c>
      <c r="H81" s="20"/>
      <c r="I81" s="19">
        <v>6600</v>
      </c>
      <c r="J81" s="20"/>
      <c r="K81" s="20">
        <f t="shared" si="8"/>
        <v>-1651</v>
      </c>
      <c r="M81" s="57">
        <f t="shared" si="15"/>
        <v>6600</v>
      </c>
      <c r="N81" s="58">
        <f t="shared" si="11"/>
        <v>4949</v>
      </c>
      <c r="O81" s="57">
        <f>+'[2]Insurance '!C10</f>
        <v>7825</v>
      </c>
    </row>
    <row r="82" spans="1:15" x14ac:dyDescent="0.25">
      <c r="A82" s="3"/>
      <c r="B82" s="3"/>
      <c r="C82" s="18"/>
      <c r="D82" s="18" t="s">
        <v>292</v>
      </c>
      <c r="E82" s="19">
        <v>12133.94</v>
      </c>
      <c r="F82" s="20"/>
      <c r="G82" s="20">
        <f t="shared" si="9"/>
        <v>16179</v>
      </c>
      <c r="H82" s="20"/>
      <c r="I82" s="19">
        <v>16000</v>
      </c>
      <c r="J82" s="20"/>
      <c r="K82" s="20">
        <f t="shared" si="8"/>
        <v>179</v>
      </c>
      <c r="M82" s="57">
        <f t="shared" si="15"/>
        <v>16000</v>
      </c>
      <c r="N82" s="58">
        <f t="shared" si="11"/>
        <v>16179</v>
      </c>
      <c r="O82" s="57">
        <v>20000</v>
      </c>
    </row>
    <row r="83" spans="1:15" x14ac:dyDescent="0.25">
      <c r="A83" s="3"/>
      <c r="B83" s="3"/>
      <c r="C83" s="18"/>
      <c r="D83" s="18" t="s">
        <v>293</v>
      </c>
      <c r="E83" s="19">
        <v>31448.720000000001</v>
      </c>
      <c r="F83" s="20"/>
      <c r="G83" s="20">
        <f t="shared" si="9"/>
        <v>41932</v>
      </c>
      <c r="H83" s="20"/>
      <c r="I83" s="19">
        <v>6500</v>
      </c>
      <c r="J83" s="20"/>
      <c r="K83" s="20">
        <f t="shared" si="8"/>
        <v>35432</v>
      </c>
      <c r="M83" s="57">
        <f t="shared" si="15"/>
        <v>6500</v>
      </c>
      <c r="N83" s="58">
        <f t="shared" si="11"/>
        <v>41932</v>
      </c>
      <c r="O83" s="57">
        <v>42000</v>
      </c>
    </row>
    <row r="84" spans="1:15" x14ac:dyDescent="0.25">
      <c r="A84" s="3"/>
      <c r="B84" s="3"/>
      <c r="C84" s="18"/>
      <c r="D84" s="18" t="s">
        <v>294</v>
      </c>
      <c r="E84" s="19">
        <v>232</v>
      </c>
      <c r="F84" s="20"/>
      <c r="G84" s="20">
        <f t="shared" si="9"/>
        <v>309</v>
      </c>
      <c r="H84" s="20"/>
      <c r="I84" s="19">
        <v>250</v>
      </c>
      <c r="J84" s="20"/>
      <c r="K84" s="20">
        <f t="shared" si="8"/>
        <v>59</v>
      </c>
      <c r="M84" s="57">
        <f t="shared" si="15"/>
        <v>250</v>
      </c>
      <c r="N84" s="58">
        <f t="shared" si="11"/>
        <v>309</v>
      </c>
      <c r="O84" s="57">
        <v>300</v>
      </c>
    </row>
    <row r="85" spans="1:15" x14ac:dyDescent="0.25">
      <c r="A85" s="3"/>
      <c r="B85" s="3"/>
      <c r="C85" s="18" t="s">
        <v>295</v>
      </c>
      <c r="D85" s="18"/>
      <c r="E85" s="19"/>
      <c r="F85" s="20"/>
      <c r="G85" s="20">
        <f t="shared" si="9"/>
        <v>0</v>
      </c>
      <c r="H85" s="20"/>
      <c r="I85" s="19"/>
      <c r="J85" s="20"/>
      <c r="K85" s="20">
        <f t="shared" si="8"/>
        <v>0</v>
      </c>
      <c r="M85" s="57"/>
      <c r="N85" s="58"/>
      <c r="O85" s="57"/>
    </row>
    <row r="86" spans="1:15" x14ac:dyDescent="0.25">
      <c r="A86" s="3"/>
      <c r="B86" s="3"/>
      <c r="C86" s="18"/>
      <c r="D86" s="18" t="s">
        <v>296</v>
      </c>
      <c r="E86" s="19">
        <v>23731.31</v>
      </c>
      <c r="F86" s="20"/>
      <c r="G86" s="20">
        <f>ROUND(E86/8*12,0)</f>
        <v>35597</v>
      </c>
      <c r="H86" s="20"/>
      <c r="I86" s="19">
        <v>36909.599999999999</v>
      </c>
      <c r="J86" s="20"/>
      <c r="K86" s="20">
        <f t="shared" si="8"/>
        <v>-1312.5999999999985</v>
      </c>
      <c r="M86" s="57">
        <f t="shared" si="15"/>
        <v>36909.599999999999</v>
      </c>
      <c r="N86" s="58">
        <f t="shared" si="11"/>
        <v>35597</v>
      </c>
      <c r="O86" s="66" t="e">
        <f>+#REF!</f>
        <v>#REF!</v>
      </c>
    </row>
    <row r="87" spans="1:15" x14ac:dyDescent="0.25">
      <c r="A87" s="3"/>
      <c r="B87" s="3"/>
      <c r="C87" s="18"/>
      <c r="D87" s="18" t="s">
        <v>297</v>
      </c>
      <c r="E87" s="19">
        <v>0</v>
      </c>
      <c r="F87" s="20"/>
      <c r="G87" s="20">
        <f t="shared" ref="G87:G91" si="17">ROUND(E87/8*12,0)</f>
        <v>0</v>
      </c>
      <c r="H87" s="20"/>
      <c r="I87" s="19">
        <v>2500</v>
      </c>
      <c r="J87" s="20"/>
      <c r="K87" s="20">
        <f t="shared" si="8"/>
        <v>-2500</v>
      </c>
      <c r="M87" s="57">
        <f t="shared" si="15"/>
        <v>2500</v>
      </c>
      <c r="N87" s="58">
        <f t="shared" si="11"/>
        <v>0</v>
      </c>
      <c r="O87" s="66">
        <v>2500</v>
      </c>
    </row>
    <row r="88" spans="1:15" x14ac:dyDescent="0.25">
      <c r="A88" s="3"/>
      <c r="B88" s="3"/>
      <c r="C88" s="18"/>
      <c r="D88" s="18" t="s">
        <v>298</v>
      </c>
      <c r="E88" s="19">
        <v>1848.76</v>
      </c>
      <c r="F88" s="20"/>
      <c r="G88" s="20">
        <f t="shared" si="17"/>
        <v>2773</v>
      </c>
      <c r="H88" s="20"/>
      <c r="I88" s="19">
        <v>3149.96</v>
      </c>
      <c r="J88" s="20"/>
      <c r="K88" s="20">
        <f t="shared" si="8"/>
        <v>-376.96000000000004</v>
      </c>
      <c r="M88" s="57">
        <f t="shared" si="15"/>
        <v>3149.96</v>
      </c>
      <c r="N88" s="58">
        <f t="shared" si="11"/>
        <v>2773</v>
      </c>
      <c r="O88" s="66" t="e">
        <f>+#REF!+ROUND(O87*0.0765,2)</f>
        <v>#REF!</v>
      </c>
    </row>
    <row r="89" spans="1:15" x14ac:dyDescent="0.25">
      <c r="A89" s="3"/>
      <c r="B89" s="3"/>
      <c r="C89" s="18"/>
      <c r="D89" s="18" t="s">
        <v>299</v>
      </c>
      <c r="E89" s="19">
        <v>82.94</v>
      </c>
      <c r="F89" s="20"/>
      <c r="G89" s="20">
        <f t="shared" si="17"/>
        <v>124</v>
      </c>
      <c r="H89" s="20"/>
      <c r="I89" s="19">
        <v>1689.48</v>
      </c>
      <c r="J89" s="20"/>
      <c r="K89" s="20">
        <f t="shared" si="8"/>
        <v>-1565.48</v>
      </c>
      <c r="M89" s="57">
        <f t="shared" si="15"/>
        <v>1689.48</v>
      </c>
      <c r="N89" s="58">
        <f t="shared" si="11"/>
        <v>124</v>
      </c>
      <c r="O89" s="66" t="e">
        <f>+#REF!</f>
        <v>#REF!</v>
      </c>
    </row>
    <row r="90" spans="1:15" x14ac:dyDescent="0.25">
      <c r="A90" s="3"/>
      <c r="B90" s="3"/>
      <c r="C90" s="18"/>
      <c r="D90" s="18" t="s">
        <v>300</v>
      </c>
      <c r="E90" s="19">
        <v>948.08</v>
      </c>
      <c r="F90" s="20"/>
      <c r="G90" s="20">
        <f t="shared" si="17"/>
        <v>1422</v>
      </c>
      <c r="H90" s="20"/>
      <c r="I90" s="19">
        <v>1281.32</v>
      </c>
      <c r="J90" s="20"/>
      <c r="K90" s="20">
        <f t="shared" si="8"/>
        <v>140.68000000000006</v>
      </c>
      <c r="M90" s="57">
        <f t="shared" si="15"/>
        <v>1281.32</v>
      </c>
      <c r="N90" s="58">
        <f t="shared" si="11"/>
        <v>1422</v>
      </c>
      <c r="O90" s="66" t="e">
        <f>+#REF!</f>
        <v>#REF!</v>
      </c>
    </row>
    <row r="91" spans="1:15" x14ac:dyDescent="0.25">
      <c r="A91" s="3"/>
      <c r="B91" s="3"/>
      <c r="C91" s="18"/>
      <c r="D91" s="18" t="s">
        <v>286</v>
      </c>
      <c r="E91" s="19">
        <v>0</v>
      </c>
      <c r="F91" s="20"/>
      <c r="G91" s="20">
        <f t="shared" si="17"/>
        <v>0</v>
      </c>
      <c r="H91" s="20"/>
      <c r="I91" s="19">
        <v>1800.03</v>
      </c>
      <c r="J91" s="20"/>
      <c r="K91" s="20">
        <f t="shared" si="8"/>
        <v>-1800.03</v>
      </c>
      <c r="M91" s="57">
        <f t="shared" si="15"/>
        <v>1800.03</v>
      </c>
      <c r="N91" s="58">
        <f t="shared" si="11"/>
        <v>0</v>
      </c>
      <c r="O91" s="66" t="e">
        <f>+#REF!</f>
        <v>#REF!</v>
      </c>
    </row>
    <row r="92" spans="1:15" x14ac:dyDescent="0.25">
      <c r="A92" s="3"/>
      <c r="B92" s="3"/>
      <c r="C92" s="18"/>
      <c r="D92" s="18" t="s">
        <v>301</v>
      </c>
      <c r="E92" s="19">
        <v>6105.12</v>
      </c>
      <c r="F92" s="20"/>
      <c r="G92" s="20">
        <f t="shared" si="9"/>
        <v>8140</v>
      </c>
      <c r="H92" s="20"/>
      <c r="I92" s="19">
        <v>0</v>
      </c>
      <c r="J92" s="20"/>
      <c r="K92" s="20">
        <f t="shared" si="8"/>
        <v>8140</v>
      </c>
      <c r="M92" s="57">
        <f t="shared" si="15"/>
        <v>0</v>
      </c>
      <c r="N92" s="58">
        <f t="shared" si="11"/>
        <v>8140</v>
      </c>
      <c r="O92" s="57">
        <v>7500</v>
      </c>
    </row>
    <row r="93" spans="1:15" x14ac:dyDescent="0.25">
      <c r="A93" s="3"/>
      <c r="B93" s="3"/>
      <c r="C93" s="18"/>
      <c r="D93" s="18" t="s">
        <v>302</v>
      </c>
      <c r="E93" s="19">
        <v>673.3</v>
      </c>
      <c r="F93" s="20"/>
      <c r="G93" s="20">
        <f t="shared" si="9"/>
        <v>898</v>
      </c>
      <c r="H93" s="20"/>
      <c r="I93" s="19">
        <v>500</v>
      </c>
      <c r="J93" s="20"/>
      <c r="K93" s="20">
        <f t="shared" si="8"/>
        <v>398</v>
      </c>
      <c r="M93" s="57">
        <f t="shared" si="15"/>
        <v>500</v>
      </c>
      <c r="N93" s="58">
        <f t="shared" si="11"/>
        <v>898</v>
      </c>
      <c r="O93" s="57">
        <v>500</v>
      </c>
    </row>
    <row r="94" spans="1:15" x14ac:dyDescent="0.25">
      <c r="A94" s="3"/>
      <c r="B94" s="3"/>
      <c r="C94" s="18"/>
      <c r="D94" s="18" t="s">
        <v>303</v>
      </c>
      <c r="E94" s="19">
        <v>119.17</v>
      </c>
      <c r="F94" s="20"/>
      <c r="G94" s="20">
        <f t="shared" si="9"/>
        <v>159</v>
      </c>
      <c r="H94" s="20"/>
      <c r="I94" s="19">
        <v>790</v>
      </c>
      <c r="J94" s="20"/>
      <c r="K94" s="20">
        <f t="shared" si="8"/>
        <v>-631</v>
      </c>
      <c r="M94" s="57">
        <f t="shared" si="15"/>
        <v>790</v>
      </c>
      <c r="N94" s="58">
        <f t="shared" si="11"/>
        <v>159</v>
      </c>
      <c r="O94" s="57">
        <f>60*12+70</f>
        <v>790</v>
      </c>
    </row>
    <row r="95" spans="1:15" x14ac:dyDescent="0.25">
      <c r="A95" s="3"/>
      <c r="B95" s="3"/>
      <c r="C95" s="18"/>
      <c r="D95" s="18" t="s">
        <v>304</v>
      </c>
      <c r="E95" s="19">
        <v>1631.23</v>
      </c>
      <c r="F95" s="20"/>
      <c r="G95" s="20">
        <f t="shared" ref="G95:G124" si="18">ROUND(E95/9*12,0)</f>
        <v>2175</v>
      </c>
      <c r="H95" s="20"/>
      <c r="I95" s="19">
        <v>1500</v>
      </c>
      <c r="J95" s="20"/>
      <c r="K95" s="20">
        <f t="shared" si="8"/>
        <v>675</v>
      </c>
      <c r="M95" s="57">
        <f t="shared" si="15"/>
        <v>1500</v>
      </c>
      <c r="N95" s="58">
        <f t="shared" si="11"/>
        <v>2175</v>
      </c>
      <c r="O95" s="57">
        <v>1500</v>
      </c>
    </row>
    <row r="96" spans="1:15" x14ac:dyDescent="0.25">
      <c r="A96" s="3"/>
      <c r="B96" s="3"/>
      <c r="C96" s="18"/>
      <c r="D96" s="18" t="s">
        <v>305</v>
      </c>
      <c r="E96" s="19">
        <v>3711.72</v>
      </c>
      <c r="F96" s="20"/>
      <c r="G96" s="20">
        <f t="shared" si="18"/>
        <v>4949</v>
      </c>
      <c r="H96" s="20"/>
      <c r="I96" s="19">
        <v>6605.5</v>
      </c>
      <c r="J96" s="20"/>
      <c r="K96" s="20">
        <f t="shared" si="8"/>
        <v>-1656.5</v>
      </c>
      <c r="M96" s="57">
        <f t="shared" si="15"/>
        <v>6605.5</v>
      </c>
      <c r="N96" s="58">
        <f t="shared" si="11"/>
        <v>4949</v>
      </c>
      <c r="O96" s="57">
        <f>+'[2]Insurance '!C11</f>
        <v>7831</v>
      </c>
    </row>
    <row r="97" spans="1:15" x14ac:dyDescent="0.25">
      <c r="A97" s="3"/>
      <c r="B97" s="3"/>
      <c r="C97" s="18"/>
      <c r="D97" s="18" t="s">
        <v>306</v>
      </c>
      <c r="E97" s="19">
        <v>7891.76</v>
      </c>
      <c r="F97" s="20"/>
      <c r="G97" s="20">
        <f t="shared" si="18"/>
        <v>10522</v>
      </c>
      <c r="H97" s="20"/>
      <c r="I97" s="19">
        <v>13000</v>
      </c>
      <c r="J97" s="20"/>
      <c r="K97" s="20">
        <f t="shared" si="8"/>
        <v>-2478</v>
      </c>
      <c r="M97" s="57">
        <f t="shared" si="15"/>
        <v>13000</v>
      </c>
      <c r="N97" s="58">
        <f t="shared" si="11"/>
        <v>10522</v>
      </c>
      <c r="O97" s="57">
        <f>19000-6000</f>
        <v>13000</v>
      </c>
    </row>
    <row r="98" spans="1:15" x14ac:dyDescent="0.25">
      <c r="A98" s="3"/>
      <c r="B98" s="3"/>
      <c r="C98" s="18"/>
      <c r="D98" s="18" t="s">
        <v>307</v>
      </c>
      <c r="E98" s="19">
        <v>33.33</v>
      </c>
      <c r="F98" s="20"/>
      <c r="G98" s="20">
        <f t="shared" si="18"/>
        <v>44</v>
      </c>
      <c r="H98" s="20"/>
      <c r="I98" s="19">
        <v>250</v>
      </c>
      <c r="J98" s="20"/>
      <c r="K98" s="20">
        <f t="shared" si="8"/>
        <v>-206</v>
      </c>
      <c r="M98" s="57">
        <f t="shared" si="15"/>
        <v>250</v>
      </c>
      <c r="N98" s="58">
        <f t="shared" si="11"/>
        <v>44</v>
      </c>
      <c r="O98" s="57">
        <v>250</v>
      </c>
    </row>
    <row r="99" spans="1:15" x14ac:dyDescent="0.25">
      <c r="A99" s="3"/>
      <c r="B99" s="3"/>
      <c r="C99" s="18"/>
      <c r="D99" s="18" t="s">
        <v>308</v>
      </c>
      <c r="E99" s="19">
        <v>3062.53</v>
      </c>
      <c r="F99" s="20"/>
      <c r="G99" s="20">
        <f t="shared" si="18"/>
        <v>4083</v>
      </c>
      <c r="H99" s="20"/>
      <c r="I99" s="19">
        <v>6000</v>
      </c>
      <c r="J99" s="20"/>
      <c r="K99" s="20">
        <f t="shared" si="8"/>
        <v>-1917</v>
      </c>
      <c r="M99" s="57">
        <f t="shared" si="15"/>
        <v>6000</v>
      </c>
      <c r="N99" s="58">
        <f t="shared" si="11"/>
        <v>4083</v>
      </c>
      <c r="O99" s="57">
        <v>6000</v>
      </c>
    </row>
    <row r="100" spans="1:15" x14ac:dyDescent="0.25">
      <c r="A100" s="3"/>
      <c r="B100" s="3"/>
      <c r="C100" s="18"/>
      <c r="D100" s="18" t="s">
        <v>309</v>
      </c>
      <c r="E100" s="19">
        <v>108.18</v>
      </c>
      <c r="F100" s="20"/>
      <c r="G100" s="20">
        <f t="shared" si="18"/>
        <v>144</v>
      </c>
      <c r="H100" s="20"/>
      <c r="I100" s="19">
        <v>200</v>
      </c>
      <c r="J100" s="20"/>
      <c r="K100" s="20">
        <f t="shared" si="8"/>
        <v>-56</v>
      </c>
      <c r="M100" s="57">
        <f t="shared" si="15"/>
        <v>200</v>
      </c>
      <c r="N100" s="58">
        <f t="shared" si="11"/>
        <v>144</v>
      </c>
      <c r="O100" s="57">
        <v>200</v>
      </c>
    </row>
    <row r="101" spans="1:15" x14ac:dyDescent="0.25">
      <c r="A101" s="3"/>
      <c r="B101" s="3"/>
      <c r="C101" s="18"/>
      <c r="D101" s="18" t="s">
        <v>310</v>
      </c>
      <c r="E101" s="19">
        <v>10</v>
      </c>
      <c r="F101" s="20"/>
      <c r="G101" s="20">
        <f t="shared" si="18"/>
        <v>13</v>
      </c>
      <c r="H101" s="20"/>
      <c r="I101" s="19">
        <v>100</v>
      </c>
      <c r="J101" s="20"/>
      <c r="K101" s="20">
        <f t="shared" si="8"/>
        <v>-87</v>
      </c>
      <c r="M101" s="57">
        <f t="shared" si="15"/>
        <v>100</v>
      </c>
      <c r="N101" s="58">
        <f t="shared" si="11"/>
        <v>13</v>
      </c>
      <c r="O101" s="57">
        <v>100</v>
      </c>
    </row>
    <row r="102" spans="1:15" x14ac:dyDescent="0.25">
      <c r="A102" s="3"/>
      <c r="B102" s="3"/>
      <c r="C102" s="18"/>
      <c r="D102" s="18" t="s">
        <v>311</v>
      </c>
      <c r="E102" s="19">
        <v>0</v>
      </c>
      <c r="F102" s="20"/>
      <c r="G102" s="20">
        <f t="shared" si="18"/>
        <v>0</v>
      </c>
      <c r="H102" s="20"/>
      <c r="I102" s="19">
        <v>0</v>
      </c>
      <c r="J102" s="20"/>
      <c r="K102" s="20">
        <f t="shared" si="8"/>
        <v>0</v>
      </c>
      <c r="M102" s="57">
        <f t="shared" si="15"/>
        <v>0</v>
      </c>
      <c r="N102" s="58">
        <f t="shared" si="11"/>
        <v>0</v>
      </c>
      <c r="O102" s="57">
        <v>0</v>
      </c>
    </row>
    <row r="103" spans="1:15" x14ac:dyDescent="0.25">
      <c r="A103" s="3"/>
      <c r="B103" s="3"/>
      <c r="C103" s="18" t="s">
        <v>312</v>
      </c>
      <c r="D103" s="18"/>
      <c r="E103" s="19"/>
      <c r="F103" s="20"/>
      <c r="G103" s="20">
        <f t="shared" si="18"/>
        <v>0</v>
      </c>
      <c r="H103" s="20"/>
      <c r="I103" s="19"/>
      <c r="J103" s="20"/>
      <c r="K103" s="20">
        <f t="shared" si="8"/>
        <v>0</v>
      </c>
      <c r="M103" s="57"/>
      <c r="N103" s="58"/>
      <c r="O103" s="57"/>
    </row>
    <row r="104" spans="1:15" x14ac:dyDescent="0.25">
      <c r="A104" s="3"/>
      <c r="B104" s="3"/>
      <c r="C104" s="18"/>
      <c r="D104" s="18" t="s">
        <v>313</v>
      </c>
      <c r="E104" s="19">
        <v>5550</v>
      </c>
      <c r="F104" s="20"/>
      <c r="G104" s="20">
        <f t="shared" ref="G104:G108" si="19">ROUND(E104/8*12,0)</f>
        <v>8325</v>
      </c>
      <c r="H104" s="20"/>
      <c r="I104" s="19">
        <v>8787.2000000000007</v>
      </c>
      <c r="J104" s="20"/>
      <c r="K104" s="20">
        <f t="shared" si="8"/>
        <v>-462.20000000000073</v>
      </c>
      <c r="M104" s="57">
        <f t="shared" si="15"/>
        <v>8787.2000000000007</v>
      </c>
      <c r="N104" s="58">
        <f t="shared" si="11"/>
        <v>8325</v>
      </c>
      <c r="O104" s="66" t="e">
        <f>+#REF!</f>
        <v>#REF!</v>
      </c>
    </row>
    <row r="105" spans="1:15" x14ac:dyDescent="0.25">
      <c r="A105" s="3"/>
      <c r="B105" s="3"/>
      <c r="C105" s="18"/>
      <c r="D105" s="18" t="s">
        <v>314</v>
      </c>
      <c r="E105" s="19">
        <v>323.39999999999998</v>
      </c>
      <c r="F105" s="20"/>
      <c r="G105" s="20">
        <f t="shared" si="19"/>
        <v>485</v>
      </c>
      <c r="H105" s="20"/>
      <c r="I105" s="19">
        <v>708.65</v>
      </c>
      <c r="J105" s="20"/>
      <c r="K105" s="20">
        <f t="shared" si="8"/>
        <v>-223.64999999999998</v>
      </c>
      <c r="M105" s="57">
        <f t="shared" si="15"/>
        <v>708.65</v>
      </c>
      <c r="N105" s="58">
        <f t="shared" si="11"/>
        <v>485</v>
      </c>
      <c r="O105" s="66" t="e">
        <f>+#REF!</f>
        <v>#REF!</v>
      </c>
    </row>
    <row r="106" spans="1:15" x14ac:dyDescent="0.25">
      <c r="A106" s="3"/>
      <c r="B106" s="3"/>
      <c r="C106" s="18"/>
      <c r="D106" s="18" t="s">
        <v>315</v>
      </c>
      <c r="E106" s="19">
        <v>0</v>
      </c>
      <c r="F106" s="20"/>
      <c r="G106" s="20">
        <f t="shared" si="19"/>
        <v>0</v>
      </c>
      <c r="H106" s="20"/>
      <c r="I106" s="19">
        <v>399.36</v>
      </c>
      <c r="J106" s="20"/>
      <c r="K106" s="20">
        <f t="shared" si="8"/>
        <v>-399.36</v>
      </c>
      <c r="M106" s="57">
        <f t="shared" si="15"/>
        <v>399.36</v>
      </c>
      <c r="N106" s="58">
        <f t="shared" si="11"/>
        <v>0</v>
      </c>
      <c r="O106" s="66" t="e">
        <f>+#REF!</f>
        <v>#REF!</v>
      </c>
    </row>
    <row r="107" spans="1:15" x14ac:dyDescent="0.25">
      <c r="A107" s="3"/>
      <c r="B107" s="3"/>
      <c r="C107" s="18"/>
      <c r="D107" s="18" t="s">
        <v>316</v>
      </c>
      <c r="E107" s="19">
        <v>0</v>
      </c>
      <c r="F107" s="20"/>
      <c r="G107" s="20">
        <f t="shared" si="19"/>
        <v>0</v>
      </c>
      <c r="H107" s="20"/>
      <c r="I107" s="19">
        <v>209.2</v>
      </c>
      <c r="J107" s="20"/>
      <c r="K107" s="20">
        <f t="shared" si="8"/>
        <v>-209.2</v>
      </c>
      <c r="M107" s="57">
        <f t="shared" si="15"/>
        <v>209.2</v>
      </c>
      <c r="N107" s="58">
        <f t="shared" si="11"/>
        <v>0</v>
      </c>
      <c r="O107" s="66" t="e">
        <f>+#REF!</f>
        <v>#REF!</v>
      </c>
    </row>
    <row r="108" spans="1:15" x14ac:dyDescent="0.25">
      <c r="A108" s="3"/>
      <c r="B108" s="3"/>
      <c r="C108" s="18"/>
      <c r="D108" s="18" t="s">
        <v>317</v>
      </c>
      <c r="E108" s="19">
        <v>0</v>
      </c>
      <c r="F108" s="20"/>
      <c r="G108" s="20">
        <f t="shared" si="19"/>
        <v>0</v>
      </c>
      <c r="H108" s="20"/>
      <c r="I108" s="19">
        <v>408.27</v>
      </c>
      <c r="J108" s="20"/>
      <c r="K108" s="20">
        <f t="shared" si="8"/>
        <v>-408.27</v>
      </c>
      <c r="M108" s="57">
        <f t="shared" si="15"/>
        <v>408.27</v>
      </c>
      <c r="N108" s="58">
        <f t="shared" si="11"/>
        <v>0</v>
      </c>
      <c r="O108" s="66" t="e">
        <f>+#REF!</f>
        <v>#REF!</v>
      </c>
    </row>
    <row r="109" spans="1:15" x14ac:dyDescent="0.25">
      <c r="A109" s="3"/>
      <c r="B109" s="3"/>
      <c r="C109" s="18"/>
      <c r="D109" s="18" t="s">
        <v>318</v>
      </c>
      <c r="E109" s="19">
        <v>0</v>
      </c>
      <c r="F109" s="20"/>
      <c r="G109" s="20">
        <f t="shared" si="18"/>
        <v>0</v>
      </c>
      <c r="H109" s="20"/>
      <c r="I109" s="19">
        <v>15000</v>
      </c>
      <c r="J109" s="20"/>
      <c r="K109" s="20">
        <f t="shared" si="8"/>
        <v>-15000</v>
      </c>
      <c r="M109" s="57">
        <f t="shared" si="15"/>
        <v>15000</v>
      </c>
      <c r="N109" s="58">
        <f t="shared" si="11"/>
        <v>0</v>
      </c>
      <c r="O109" s="57">
        <v>0</v>
      </c>
    </row>
    <row r="110" spans="1:15" x14ac:dyDescent="0.25">
      <c r="A110" s="3"/>
      <c r="B110" s="3"/>
      <c r="C110" s="18"/>
      <c r="D110" s="18" t="s">
        <v>319</v>
      </c>
      <c r="E110" s="19">
        <v>0</v>
      </c>
      <c r="F110" s="20"/>
      <c r="G110" s="20">
        <f t="shared" si="18"/>
        <v>0</v>
      </c>
      <c r="H110" s="20"/>
      <c r="I110" s="19">
        <v>0</v>
      </c>
      <c r="J110" s="20"/>
      <c r="K110" s="20">
        <f t="shared" si="8"/>
        <v>0</v>
      </c>
      <c r="M110" s="57">
        <f t="shared" si="15"/>
        <v>0</v>
      </c>
      <c r="N110" s="58">
        <f t="shared" si="11"/>
        <v>0</v>
      </c>
      <c r="O110" s="57">
        <v>0</v>
      </c>
    </row>
    <row r="111" spans="1:15" x14ac:dyDescent="0.25">
      <c r="A111" s="3"/>
      <c r="B111" s="3"/>
      <c r="C111" s="18"/>
      <c r="D111" s="18" t="s">
        <v>320</v>
      </c>
      <c r="E111" s="19">
        <v>673.3</v>
      </c>
      <c r="F111" s="20"/>
      <c r="G111" s="20">
        <f t="shared" si="18"/>
        <v>898</v>
      </c>
      <c r="H111" s="20"/>
      <c r="I111" s="19">
        <v>500</v>
      </c>
      <c r="J111" s="20"/>
      <c r="K111" s="20">
        <f t="shared" si="8"/>
        <v>398</v>
      </c>
      <c r="M111" s="57">
        <f t="shared" si="15"/>
        <v>500</v>
      </c>
      <c r="N111" s="58">
        <f t="shared" si="11"/>
        <v>898</v>
      </c>
      <c r="O111" s="57">
        <v>500</v>
      </c>
    </row>
    <row r="112" spans="1:15" x14ac:dyDescent="0.25">
      <c r="A112" s="3"/>
      <c r="B112" s="3"/>
      <c r="C112" s="18"/>
      <c r="D112" s="18" t="s">
        <v>321</v>
      </c>
      <c r="E112" s="19">
        <v>0</v>
      </c>
      <c r="F112" s="20"/>
      <c r="G112" s="20">
        <f t="shared" si="18"/>
        <v>0</v>
      </c>
      <c r="H112" s="20"/>
      <c r="I112" s="19">
        <v>432</v>
      </c>
      <c r="J112" s="20"/>
      <c r="K112" s="20">
        <f t="shared" si="8"/>
        <v>-432</v>
      </c>
      <c r="M112" s="57">
        <f t="shared" si="15"/>
        <v>432</v>
      </c>
      <c r="N112" s="58">
        <f t="shared" si="11"/>
        <v>0</v>
      </c>
      <c r="O112" s="57">
        <f>36*12</f>
        <v>432</v>
      </c>
    </row>
    <row r="113" spans="1:17" x14ac:dyDescent="0.25">
      <c r="A113" s="3"/>
      <c r="B113" s="3"/>
      <c r="C113" s="18"/>
      <c r="D113" s="18" t="s">
        <v>322</v>
      </c>
      <c r="E113" s="19">
        <v>0</v>
      </c>
      <c r="F113" s="20"/>
      <c r="G113" s="20">
        <f t="shared" si="18"/>
        <v>0</v>
      </c>
      <c r="H113" s="20"/>
      <c r="I113" s="19">
        <v>0</v>
      </c>
      <c r="J113" s="20"/>
      <c r="K113" s="20">
        <f t="shared" si="8"/>
        <v>0</v>
      </c>
      <c r="M113" s="57">
        <f t="shared" si="15"/>
        <v>0</v>
      </c>
      <c r="N113" s="58">
        <f t="shared" si="11"/>
        <v>0</v>
      </c>
      <c r="O113" s="57">
        <v>0</v>
      </c>
    </row>
    <row r="114" spans="1:17" x14ac:dyDescent="0.25">
      <c r="A114" s="3"/>
      <c r="B114" s="3"/>
      <c r="C114" s="18"/>
      <c r="D114" s="18" t="s">
        <v>323</v>
      </c>
      <c r="E114" s="19">
        <v>13691.9</v>
      </c>
      <c r="F114" s="20"/>
      <c r="G114" s="20">
        <f t="shared" si="18"/>
        <v>18256</v>
      </c>
      <c r="H114" s="20"/>
      <c r="I114" s="19">
        <v>10000</v>
      </c>
      <c r="J114" s="20"/>
      <c r="K114" s="20">
        <f t="shared" si="8"/>
        <v>8256</v>
      </c>
      <c r="M114" s="57">
        <f t="shared" si="15"/>
        <v>10000</v>
      </c>
      <c r="N114" s="58">
        <f t="shared" si="11"/>
        <v>18256</v>
      </c>
      <c r="O114" s="57">
        <v>20000</v>
      </c>
    </row>
    <row r="115" spans="1:17" x14ac:dyDescent="0.25">
      <c r="A115" s="3"/>
      <c r="B115" s="3"/>
      <c r="C115" s="18"/>
      <c r="D115" s="18" t="s">
        <v>324</v>
      </c>
      <c r="E115" s="19">
        <v>3712.47</v>
      </c>
      <c r="F115" s="20"/>
      <c r="G115" s="20">
        <f t="shared" si="18"/>
        <v>4950</v>
      </c>
      <c r="H115" s="20"/>
      <c r="I115" s="19">
        <v>6605.5</v>
      </c>
      <c r="J115" s="20"/>
      <c r="K115" s="20">
        <f t="shared" si="8"/>
        <v>-1655.5</v>
      </c>
      <c r="M115" s="57">
        <f t="shared" si="15"/>
        <v>6605.5</v>
      </c>
      <c r="N115" s="58">
        <f t="shared" si="11"/>
        <v>4950</v>
      </c>
      <c r="O115" s="57">
        <f>+'[2]Insurance '!C12</f>
        <v>7831</v>
      </c>
    </row>
    <row r="116" spans="1:17" x14ac:dyDescent="0.25">
      <c r="A116" s="3"/>
      <c r="B116" s="3"/>
      <c r="C116" s="18"/>
      <c r="D116" s="18" t="s">
        <v>325</v>
      </c>
      <c r="E116" s="19">
        <v>22437.47</v>
      </c>
      <c r="F116" s="20"/>
      <c r="G116" s="20">
        <f t="shared" si="18"/>
        <v>29917</v>
      </c>
      <c r="H116" s="20"/>
      <c r="I116" s="19">
        <v>25000</v>
      </c>
      <c r="J116" s="20"/>
      <c r="K116" s="20">
        <f t="shared" si="8"/>
        <v>4917</v>
      </c>
      <c r="M116" s="57">
        <f t="shared" si="15"/>
        <v>25000</v>
      </c>
      <c r="N116" s="58">
        <f t="shared" si="11"/>
        <v>29917</v>
      </c>
      <c r="O116" s="57">
        <f>25000+8000</f>
        <v>33000</v>
      </c>
    </row>
    <row r="117" spans="1:17" x14ac:dyDescent="0.25">
      <c r="A117" s="3"/>
      <c r="B117" s="3"/>
      <c r="C117" s="18"/>
      <c r="D117" s="18" t="s">
        <v>326</v>
      </c>
      <c r="E117" s="19">
        <v>0</v>
      </c>
      <c r="F117" s="20"/>
      <c r="G117" s="20">
        <f t="shared" si="18"/>
        <v>0</v>
      </c>
      <c r="H117" s="20"/>
      <c r="I117" s="19">
        <v>0</v>
      </c>
      <c r="J117" s="20"/>
      <c r="K117" s="20">
        <f t="shared" si="8"/>
        <v>0</v>
      </c>
      <c r="M117" s="57">
        <f t="shared" si="15"/>
        <v>0</v>
      </c>
      <c r="N117" s="58">
        <f t="shared" si="11"/>
        <v>0</v>
      </c>
      <c r="O117" s="57">
        <v>0</v>
      </c>
    </row>
    <row r="118" spans="1:17" x14ac:dyDescent="0.25">
      <c r="A118" s="3"/>
      <c r="B118" s="3"/>
      <c r="C118" s="18"/>
      <c r="D118" s="18" t="s">
        <v>327</v>
      </c>
      <c r="E118" s="19">
        <v>0</v>
      </c>
      <c r="F118" s="20"/>
      <c r="G118" s="20">
        <f t="shared" si="18"/>
        <v>0</v>
      </c>
      <c r="H118" s="20"/>
      <c r="I118" s="19">
        <v>250</v>
      </c>
      <c r="J118" s="20"/>
      <c r="K118" s="20">
        <f t="shared" si="8"/>
        <v>-250</v>
      </c>
      <c r="M118" s="57">
        <f t="shared" si="15"/>
        <v>250</v>
      </c>
      <c r="N118" s="58">
        <f t="shared" si="11"/>
        <v>0</v>
      </c>
      <c r="O118" s="57">
        <v>250</v>
      </c>
    </row>
    <row r="119" spans="1:17" x14ac:dyDescent="0.25">
      <c r="A119" s="3"/>
      <c r="B119" s="3"/>
      <c r="C119" s="18"/>
      <c r="D119" s="18" t="s">
        <v>328</v>
      </c>
      <c r="E119" s="19">
        <v>8020.08</v>
      </c>
      <c r="F119" s="20"/>
      <c r="G119" s="20">
        <f t="shared" si="18"/>
        <v>10693</v>
      </c>
      <c r="H119" s="20"/>
      <c r="I119" s="19">
        <v>3000</v>
      </c>
      <c r="J119" s="20"/>
      <c r="K119" s="20">
        <f t="shared" si="8"/>
        <v>7693</v>
      </c>
      <c r="M119" s="57">
        <f t="shared" si="15"/>
        <v>3000</v>
      </c>
      <c r="N119" s="58">
        <f t="shared" si="11"/>
        <v>10693</v>
      </c>
      <c r="O119" s="57">
        <v>3000</v>
      </c>
    </row>
    <row r="120" spans="1:17" x14ac:dyDescent="0.25">
      <c r="A120" s="3"/>
      <c r="B120" s="3"/>
      <c r="C120" s="18"/>
      <c r="D120" s="18" t="s">
        <v>329</v>
      </c>
      <c r="E120" s="19">
        <v>132.5</v>
      </c>
      <c r="F120" s="20"/>
      <c r="G120" s="20">
        <f t="shared" si="18"/>
        <v>177</v>
      </c>
      <c r="H120" s="20"/>
      <c r="I120" s="19">
        <v>500</v>
      </c>
      <c r="J120" s="20"/>
      <c r="K120" s="20">
        <f t="shared" si="8"/>
        <v>-323</v>
      </c>
      <c r="M120" s="57">
        <f t="shared" si="15"/>
        <v>500</v>
      </c>
      <c r="N120" s="58">
        <f t="shared" si="11"/>
        <v>177</v>
      </c>
      <c r="O120" s="57">
        <v>500</v>
      </c>
    </row>
    <row r="121" spans="1:17" x14ac:dyDescent="0.25">
      <c r="A121" s="3"/>
      <c r="B121" s="3"/>
      <c r="C121" s="18"/>
      <c r="D121" s="18" t="s">
        <v>330</v>
      </c>
      <c r="E121" s="19"/>
      <c r="F121" s="20"/>
      <c r="G121" s="20">
        <f t="shared" si="18"/>
        <v>0</v>
      </c>
      <c r="H121" s="20"/>
      <c r="I121" s="19"/>
      <c r="J121" s="20"/>
      <c r="K121" s="20">
        <f t="shared" si="8"/>
        <v>0</v>
      </c>
      <c r="M121" s="57">
        <f t="shared" si="15"/>
        <v>0</v>
      </c>
      <c r="N121" s="58">
        <f t="shared" si="11"/>
        <v>0</v>
      </c>
      <c r="O121" s="57">
        <v>0</v>
      </c>
    </row>
    <row r="122" spans="1:17" x14ac:dyDescent="0.25">
      <c r="A122" s="3"/>
      <c r="B122" s="3"/>
      <c r="C122" s="18" t="s">
        <v>331</v>
      </c>
      <c r="D122" s="18"/>
      <c r="E122" s="19">
        <v>0</v>
      </c>
      <c r="F122" s="20"/>
      <c r="G122" s="20">
        <f t="shared" si="18"/>
        <v>0</v>
      </c>
      <c r="H122" s="20"/>
      <c r="I122" s="19">
        <v>0</v>
      </c>
      <c r="J122" s="20"/>
      <c r="K122" s="20">
        <f t="shared" si="8"/>
        <v>0</v>
      </c>
      <c r="M122" s="57">
        <f t="shared" si="15"/>
        <v>0</v>
      </c>
      <c r="N122" s="58">
        <f t="shared" si="11"/>
        <v>0</v>
      </c>
      <c r="O122" s="57">
        <v>0</v>
      </c>
    </row>
    <row r="123" spans="1:17" x14ac:dyDescent="0.25">
      <c r="A123" s="3"/>
      <c r="B123" s="3"/>
      <c r="C123" s="18" t="s">
        <v>332</v>
      </c>
      <c r="D123" s="18"/>
      <c r="E123" s="19">
        <v>0</v>
      </c>
      <c r="F123" s="20"/>
      <c r="G123" s="20">
        <f t="shared" si="18"/>
        <v>0</v>
      </c>
      <c r="H123" s="20"/>
      <c r="I123" s="19">
        <v>0</v>
      </c>
      <c r="J123" s="20"/>
      <c r="K123" s="20">
        <f t="shared" si="8"/>
        <v>0</v>
      </c>
      <c r="M123" s="57">
        <f t="shared" si="15"/>
        <v>0</v>
      </c>
      <c r="N123" s="58">
        <f t="shared" si="11"/>
        <v>0</v>
      </c>
      <c r="O123" s="57">
        <v>0</v>
      </c>
    </row>
    <row r="124" spans="1:17" x14ac:dyDescent="0.25">
      <c r="A124" s="3"/>
      <c r="B124" s="3"/>
      <c r="C124" s="18" t="s">
        <v>333</v>
      </c>
      <c r="D124" s="18"/>
      <c r="E124" s="19">
        <v>0</v>
      </c>
      <c r="F124" s="20"/>
      <c r="G124" s="20">
        <f t="shared" si="18"/>
        <v>0</v>
      </c>
      <c r="H124" s="20"/>
      <c r="I124" s="19">
        <v>0</v>
      </c>
      <c r="J124" s="20"/>
      <c r="K124" s="20">
        <f t="shared" si="8"/>
        <v>0</v>
      </c>
      <c r="M124" s="57">
        <f t="shared" ref="M124" si="20">+I124</f>
        <v>0</v>
      </c>
      <c r="N124" s="58">
        <f t="shared" si="11"/>
        <v>0</v>
      </c>
      <c r="O124" s="57">
        <v>0</v>
      </c>
    </row>
    <row r="125" spans="1:17" ht="15.75" thickBot="1" x14ac:dyDescent="0.3">
      <c r="A125" s="3"/>
      <c r="B125" s="3"/>
      <c r="C125" s="3"/>
      <c r="D125" s="3"/>
      <c r="E125" s="19"/>
      <c r="F125" s="20"/>
      <c r="G125" s="20"/>
      <c r="H125" s="20"/>
      <c r="I125" s="19"/>
      <c r="J125" s="20"/>
      <c r="K125" s="20">
        <f t="shared" ref="K125" si="21">+G125-I125</f>
        <v>0</v>
      </c>
      <c r="M125" s="57"/>
      <c r="N125" s="58"/>
      <c r="O125" s="64"/>
    </row>
    <row r="126" spans="1:17" ht="15.75" thickBot="1" x14ac:dyDescent="0.3">
      <c r="A126" s="3"/>
      <c r="B126" s="3"/>
      <c r="C126" s="3" t="s">
        <v>334</v>
      </c>
      <c r="D126" s="3"/>
      <c r="E126" s="48">
        <f>SUM(E29:E125)</f>
        <v>350725.53000000009</v>
      </c>
      <c r="F126" s="20"/>
      <c r="G126" s="48">
        <f>SUM(G29:G125)</f>
        <v>534504.19999999995</v>
      </c>
      <c r="H126" s="20"/>
      <c r="I126" s="48">
        <f>SUM(I29:I125)</f>
        <v>453951.13000000006</v>
      </c>
      <c r="J126" s="20"/>
      <c r="K126" s="48">
        <f>SUM(K29:K125)</f>
        <v>80553.070000000007</v>
      </c>
      <c r="M126" s="67">
        <f>SUM(M29:M125)</f>
        <v>453951.13000000006</v>
      </c>
      <c r="N126" s="68">
        <f>SUM(N29:N125)</f>
        <v>534504.19999999995</v>
      </c>
      <c r="O126" s="67" t="e">
        <f>SUM(O29:O125)</f>
        <v>#REF!</v>
      </c>
    </row>
    <row r="127" spans="1:17" s="47" customFormat="1" ht="12" thickBot="1" x14ac:dyDescent="0.25">
      <c r="A127" s="3" t="s">
        <v>218</v>
      </c>
      <c r="B127" s="3"/>
      <c r="C127" s="3"/>
      <c r="D127" s="3"/>
      <c r="E127" s="52">
        <f>+E27-E126</f>
        <v>-20278.460000000079</v>
      </c>
      <c r="F127" s="27"/>
      <c r="G127" s="52">
        <f>+G27-G126</f>
        <v>-93907.199999999953</v>
      </c>
      <c r="H127" s="27"/>
      <c r="I127" s="52">
        <f>+I27-I126</f>
        <v>37990.469999999914</v>
      </c>
      <c r="J127" s="27"/>
      <c r="K127" s="52">
        <f>+K27-K126</f>
        <v>-132897.66999999998</v>
      </c>
      <c r="M127" s="69">
        <f>+M27-M126</f>
        <v>37990.469999999914</v>
      </c>
      <c r="N127" s="70">
        <f>+N27-N126</f>
        <v>-100303.19999999995</v>
      </c>
      <c r="O127" s="70" t="e">
        <f>+O27-O126</f>
        <v>#REF!</v>
      </c>
      <c r="Q127" s="71"/>
    </row>
    <row r="128" spans="1:17" ht="15.75" thickTop="1" x14ac:dyDescent="0.25">
      <c r="M128" s="72"/>
      <c r="N128" s="72"/>
      <c r="O128" s="72"/>
    </row>
    <row r="131" spans="15:15" x14ac:dyDescent="0.25">
      <c r="O131" s="73"/>
    </row>
    <row r="132" spans="15:15" x14ac:dyDescent="0.25">
      <c r="O132" s="73"/>
    </row>
    <row r="133" spans="15:15" x14ac:dyDescent="0.25">
      <c r="O133" s="73"/>
    </row>
    <row r="135" spans="15:15" x14ac:dyDescent="0.25">
      <c r="O135" s="73"/>
    </row>
  </sheetData>
  <pageMargins left="0.7" right="0.7" top="0.75" bottom="0.75" header="0.1" footer="0.3"/>
  <pageSetup scale="96" fitToHeight="0" orientation="portrait" r:id="rId1"/>
  <headerFooter>
    <oddHeader>&amp;C&amp;"Arial,Bold"&amp;12Town of White Springs
&amp;14Enterprise Fund
 Proposed Budget 2023-24</oddHeader>
    <oddFooter>&amp;CWORKING&amp;R&amp;"Arial,Bold"&amp;8Page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General</vt:lpstr>
      <vt:lpstr>Enterprise</vt:lpstr>
      <vt:lpstr>Enterprise!Print_Area</vt:lpstr>
      <vt:lpstr>General!Print_Area</vt:lpstr>
      <vt:lpstr>Enterprise!Print_Titles</vt:lpstr>
      <vt:lpstr>General!Print_Titles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George</dc:creator>
  <cp:lastModifiedBy>Vanessa George</cp:lastModifiedBy>
  <cp:lastPrinted>2023-09-26T19:37:04Z</cp:lastPrinted>
  <dcterms:created xsi:type="dcterms:W3CDTF">2023-09-12T18:15:58Z</dcterms:created>
  <dcterms:modified xsi:type="dcterms:W3CDTF">2023-09-26T19:38:37Z</dcterms:modified>
</cp:coreProperties>
</file>